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workbookPr showInkAnnotation="0" codeName="ThisWorkbook" autoCompressPictures="0"/>
  <mc:AlternateContent xmlns:mc="http://schemas.openxmlformats.org/markup-compatibility/2006">
    <mc:Choice Requires="x15">
      <x15ac:absPath xmlns:x15ac="http://schemas.microsoft.com/office/spreadsheetml/2010/11/ac" url="/Users/macbook/OneDrive/Tro li dao tao/Kế hoạch năm học/Kê hoạch năm học 20-21/"/>
    </mc:Choice>
  </mc:AlternateContent>
  <xr:revisionPtr revIDLastSave="0" documentId="13_ncr:1_{0D711BA4-210F-8745-9F5B-EA16BA0905BC}" xr6:coauthVersionLast="43" xr6:coauthVersionMax="45" xr10:uidLastSave="{00000000-0000-0000-0000-000000000000}"/>
  <bookViews>
    <workbookView xWindow="0" yWindow="460" windowWidth="28800" windowHeight="16240" tabRatio="889" firstSheet="9" activeTab="18" xr2:uid="{00000000-000D-0000-FFFF-FFFF00000000}"/>
  </bookViews>
  <sheets>
    <sheet name="foxz" sheetId="69" state="veryHidden" r:id="rId1"/>
    <sheet name="Xac nhạn so lượng SV 2021" sheetId="55" r:id="rId2"/>
    <sheet name="Bieu1" sheetId="20" r:id="rId3"/>
    <sheet name="Bieu2" sheetId="52" r:id="rId4"/>
    <sheet name="Bieu2 GDTH" sheetId="51" state="hidden" r:id="rId5"/>
    <sheet name="Bieu2 GDMN" sheetId="50" state="hidden" r:id="rId6"/>
    <sheet name="Bieu2 QLGD" sheetId="49" state="hidden" r:id="rId7"/>
    <sheet name="Bieu2 TLH" sheetId="48" state="hidden" r:id="rId8"/>
    <sheet name="Bieu2 GDH" sheetId="42" state="hidden" r:id="rId9"/>
    <sheet name="Bieu2 các tổ" sheetId="53" state="hidden" r:id="rId10"/>
    <sheet name="Bieu3" sheetId="37" r:id="rId11"/>
    <sheet name="Bieu3 GDH" sheetId="41" r:id="rId12"/>
    <sheet name="Bieu3 TLH" sheetId="40" r:id="rId13"/>
    <sheet name="Bieu3 QLGD" sheetId="39" r:id="rId14"/>
    <sheet name="Bieu3 GDMN" sheetId="38" r:id="rId15"/>
    <sheet name="Bieu3 GDTH" sheetId="7" r:id="rId16"/>
    <sheet name="Bieu4" sheetId="10" r:id="rId17"/>
    <sheet name="Bieu5" sheetId="11" r:id="rId18"/>
    <sheet name="Bieu6" sheetId="12" r:id="rId19"/>
    <sheet name="Bieu 7 NCKH" sheetId="13" r:id="rId20"/>
    <sheet name="Biểu 7B Xuất bản" sheetId="64" r:id="rId21"/>
    <sheet name="Bieu 8" sheetId="36" r:id="rId22"/>
    <sheet name="Bieu 9" sheetId="19" r:id="rId23"/>
    <sheet name="Bieu 10" sheetId="17" r:id="rId24"/>
    <sheet name="Bieu11" sheetId="18" r:id="rId25"/>
    <sheet name="Bieu 12" sheetId="32" r:id="rId26"/>
    <sheet name="PL1 Tự DG GDMN" sheetId="62" r:id="rId27"/>
    <sheet name="PL2 Hội thi NVSP" sheetId="66" r:id="rId28"/>
    <sheet name="PL3 Hội thi rèn nghề" sheetId="67" r:id="rId29"/>
    <sheet name="PL4 Dự toán TTSP GDMN k58" sheetId="60" r:id="rId30"/>
    <sheet name="PL5 dự toán RLNVSP 1 GDMN" sheetId="57" r:id="rId31"/>
    <sheet name="PL6 Dự toán RLNVSP2 GDMN" sheetId="61" r:id="rId32"/>
    <sheet name="PL7 Dự toán HK1 RLNV GDTH" sheetId="56" r:id="rId33"/>
    <sheet name="PL8 Dự toán hk2 RLNVSP GDTH" sheetId="58" r:id="rId34"/>
    <sheet name="PL9 Dự toán TTSP GDTH" sheetId="47" r:id="rId35"/>
    <sheet name="PL10  hội thi VCĐ-GTN GDTH" sheetId="59" r:id="rId36"/>
  </sheets>
  <definedNames>
    <definedName name="_xlnm.Print_Area" localSheetId="23">'Bieu 10'!$A$1:$G$53</definedName>
    <definedName name="_xlnm.Print_Area" localSheetId="20">'Biểu 7B Xuất bản'!$A$1:$L$34</definedName>
    <definedName name="_xlnm.Print_Area" localSheetId="21">'Bieu 8'!$A$1:$H$33</definedName>
    <definedName name="_xlnm.Print_Area" localSheetId="22">'Bieu 9'!$A$1:$G$44</definedName>
    <definedName name="_xlnm.Print_Area" localSheetId="2">Bieu1!$A$1:$K$60</definedName>
    <definedName name="_xlnm.Print_Area" localSheetId="24">Bieu11!$A$1:$E$27</definedName>
    <definedName name="_xlnm.Print_Area" localSheetId="3">Bieu2!$A$1:$S$303</definedName>
    <definedName name="_xlnm.Print_Area" localSheetId="9">'Bieu2 các tổ'!$A$1:$Q$387</definedName>
    <definedName name="_xlnm.Print_Area" localSheetId="8">'Bieu2 GDH'!$A$1:$Q$346</definedName>
    <definedName name="_xlnm.Print_Area" localSheetId="5">'Bieu2 GDMN'!$A$1:$Q$346</definedName>
    <definedName name="_xlnm.Print_Area" localSheetId="4">'Bieu2 GDTH'!$A$1:$Q$346</definedName>
    <definedName name="_xlnm.Print_Area" localSheetId="6">'Bieu2 QLGD'!$A$1:$Q$346</definedName>
    <definedName name="_xlnm.Print_Area" localSheetId="7">'Bieu2 TLH'!$A$1:$Q$346</definedName>
    <definedName name="_xlnm.Print_Area" localSheetId="10">Bieu3!$A$1:$R$44</definedName>
    <definedName name="_xlnm.Print_Area" localSheetId="11">'Bieu3 GDH'!$A$1:$Q$30</definedName>
    <definedName name="_xlnm.Print_Area" localSheetId="14">'Bieu3 GDMN'!$A$1:$Q$32</definedName>
    <definedName name="_xlnm.Print_Area" localSheetId="15">'Bieu3 GDTH'!$A$1:$AA$52</definedName>
    <definedName name="_xlnm.Print_Area" localSheetId="13">'Bieu3 QLGD'!$A$1:$Q$35</definedName>
    <definedName name="_xlnm.Print_Area" localSheetId="12">'Bieu3 TLH'!$A$1:$Q$24</definedName>
    <definedName name="_xlnm.Print_Area" localSheetId="16">Bieu4!$A$1:$T$46</definedName>
    <definedName name="_xlnm.Print_Area" localSheetId="17">Bieu5!$A$1:$V$38</definedName>
    <definedName name="_xlnm.Print_Area" localSheetId="18">Bieu6!$A$1:$G$65</definedName>
    <definedName name="_xlnm.Print_Area" localSheetId="26">'PL1 Tự DG GDMN'!$A$1:$K$60</definedName>
    <definedName name="_xlnm.Print_Area" localSheetId="35">'PL10  hội thi VCĐ-GTN GDTH'!$A$1:$G$50</definedName>
    <definedName name="_xlnm.Print_Area" localSheetId="27">'PL2 Hội thi NVSP'!$A$1:$H$54</definedName>
    <definedName name="_xlnm.Print_Area" localSheetId="28">'PL3 Hội thi rèn nghề'!$A$1:$H$58</definedName>
    <definedName name="_xlnm.Print_Area" localSheetId="30">'PL5 dự toán RLNVSP 1 GDMN'!$A$1:$J$107</definedName>
    <definedName name="_xlnm.Print_Area" localSheetId="31">'PL6 Dự toán RLNVSP2 GDMN'!$A$1:$J$118</definedName>
    <definedName name="_xlnm.Print_Area" localSheetId="33">'PL8 Dự toán hk2 RLNVSP GDTH'!$A$1:$L$35</definedName>
    <definedName name="_xlnm.Print_Titles" localSheetId="25">'Bieu 12'!$4:$4</definedName>
    <definedName name="_xlnm.Print_Titles" localSheetId="3">Bieu2!$5:$5</definedName>
    <definedName name="_xlnm.Print_Titles" localSheetId="9">'Bieu2 các tổ'!$5:$5</definedName>
    <definedName name="_xlnm.Print_Titles" localSheetId="8">'Bieu2 GDH'!$5:$5</definedName>
    <definedName name="_xlnm.Print_Titles" localSheetId="5">'Bieu2 GDMN'!$5:$5</definedName>
    <definedName name="_xlnm.Print_Titles" localSheetId="4">'Bieu2 GDTH'!$5:$5</definedName>
    <definedName name="_xlnm.Print_Titles" localSheetId="6">'Bieu2 QLGD'!$5:$5</definedName>
    <definedName name="_xlnm.Print_Titles" localSheetId="7">'Bieu2 TLH'!$5:$5</definedName>
    <definedName name="_xlnm.Print_Titles" localSheetId="10">Bieu3!$5:$5</definedName>
    <definedName name="_xlnm.Print_Titles" localSheetId="11">'Bieu3 GDH'!$5:$5</definedName>
    <definedName name="_xlnm.Print_Titles" localSheetId="14">'Bieu3 GDMN'!$5:$5</definedName>
    <definedName name="_xlnm.Print_Titles" localSheetId="15">'Bieu3 GDTH'!$5:$5</definedName>
    <definedName name="_xlnm.Print_Titles" localSheetId="13">'Bieu3 QLGD'!$5:$5</definedName>
    <definedName name="_xlnm.Print_Titles" localSheetId="12">'Bieu3 TLH'!$5:$5</definedName>
    <definedName name="_xlnm.Print_Titles" localSheetId="16">Bieu4!$5:$5</definedName>
    <definedName name="_xlnm.Print_Titles" localSheetId="17">Bieu5!$5:$5</definedName>
    <definedName name="_xlnm.Print_Titles" localSheetId="18">Bieu6!$5:$5</definedName>
  </definedNames>
  <calcPr calcId="191029"/>
</workbook>
</file>

<file path=xl/calcChain.xml><?xml version="1.0" encoding="utf-8"?>
<calcChain xmlns="http://schemas.openxmlformats.org/spreadsheetml/2006/main">
  <c r="C11" i="17" l="1"/>
  <c r="D23" i="13"/>
  <c r="C22" i="17"/>
  <c r="F16" i="11"/>
  <c r="F18" i="11"/>
  <c r="D18" i="11"/>
  <c r="F17" i="11"/>
  <c r="F294" i="52"/>
  <c r="F162" i="52"/>
  <c r="F163" i="52"/>
  <c r="F235" i="52"/>
  <c r="K294" i="52"/>
  <c r="J294" i="52"/>
  <c r="I294" i="52"/>
  <c r="H233" i="52"/>
  <c r="H218" i="52"/>
  <c r="H219" i="52"/>
  <c r="H220" i="52"/>
  <c r="H221" i="52"/>
  <c r="H222" i="52"/>
  <c r="H223" i="52"/>
  <c r="H224" i="52"/>
  <c r="H225" i="52"/>
  <c r="H226" i="52"/>
  <c r="H227" i="52"/>
  <c r="H228" i="52"/>
  <c r="H229" i="52"/>
  <c r="H217" i="52"/>
  <c r="H157" i="52"/>
  <c r="H158" i="52"/>
  <c r="H159" i="52"/>
  <c r="H160" i="52"/>
  <c r="H161" i="52"/>
  <c r="H162" i="52"/>
  <c r="H156" i="52"/>
  <c r="H137" i="52"/>
  <c r="H138" i="52"/>
  <c r="H139" i="52"/>
  <c r="H140" i="52"/>
  <c r="H141" i="52"/>
  <c r="H142" i="52"/>
  <c r="H143" i="52"/>
  <c r="H144" i="52"/>
  <c r="H145" i="52"/>
  <c r="H146" i="52"/>
  <c r="H147" i="52"/>
  <c r="H148" i="52"/>
  <c r="H149" i="52"/>
  <c r="H136" i="52"/>
  <c r="H121" i="52"/>
  <c r="H122" i="52"/>
  <c r="H123" i="52"/>
  <c r="H124" i="52"/>
  <c r="H125" i="52"/>
  <c r="H126" i="52"/>
  <c r="H127" i="52"/>
  <c r="H128" i="52"/>
  <c r="H129" i="52"/>
  <c r="H120" i="52"/>
  <c r="H109" i="52"/>
  <c r="H110" i="52"/>
  <c r="H111" i="52"/>
  <c r="H112" i="52"/>
  <c r="H113" i="52"/>
  <c r="H114" i="52"/>
  <c r="H115" i="52"/>
  <c r="H116" i="52"/>
  <c r="H108" i="52"/>
  <c r="H84" i="52"/>
  <c r="H85" i="52"/>
  <c r="H86" i="52"/>
  <c r="H87" i="52"/>
  <c r="H88" i="52"/>
  <c r="H89" i="52"/>
  <c r="H90" i="52"/>
  <c r="H91" i="52"/>
  <c r="H92" i="52"/>
  <c r="H93" i="52"/>
  <c r="H94" i="52"/>
  <c r="H95" i="52"/>
  <c r="H96" i="52"/>
  <c r="H97" i="52"/>
  <c r="H98" i="52"/>
  <c r="H99" i="52"/>
  <c r="H100" i="52"/>
  <c r="H101" i="52"/>
  <c r="H102" i="52"/>
  <c r="H103" i="52"/>
  <c r="H104" i="52"/>
  <c r="H83" i="52"/>
  <c r="H62" i="52"/>
  <c r="H63" i="52"/>
  <c r="H64" i="52"/>
  <c r="H65" i="52"/>
  <c r="H66" i="52"/>
  <c r="H67" i="52"/>
  <c r="H68" i="52"/>
  <c r="H69" i="52"/>
  <c r="H70" i="52"/>
  <c r="H71" i="52"/>
  <c r="H72" i="52"/>
  <c r="H73" i="52"/>
  <c r="H74" i="52"/>
  <c r="H75" i="52"/>
  <c r="H61" i="52"/>
  <c r="H45" i="52"/>
  <c r="H13" i="52"/>
  <c r="H14" i="52"/>
  <c r="H15" i="52"/>
  <c r="H16" i="52"/>
  <c r="H17" i="52"/>
  <c r="H18" i="52"/>
  <c r="H19" i="52"/>
  <c r="H20" i="52"/>
  <c r="H21" i="52"/>
  <c r="H22" i="52"/>
  <c r="H23" i="52"/>
  <c r="H24" i="52"/>
  <c r="H25" i="52"/>
  <c r="H26" i="52"/>
  <c r="H27" i="52"/>
  <c r="H28" i="52"/>
  <c r="H29" i="52"/>
  <c r="H30" i="52"/>
  <c r="H31" i="52"/>
  <c r="H32" i="52"/>
  <c r="H33" i="52"/>
  <c r="H34" i="52"/>
  <c r="H35" i="52"/>
  <c r="H36" i="52"/>
  <c r="H37" i="52"/>
  <c r="H38" i="52"/>
  <c r="H39" i="52"/>
  <c r="H40" i="52"/>
  <c r="H41" i="52"/>
  <c r="H42" i="52"/>
  <c r="H43" i="52"/>
  <c r="H44" i="52"/>
  <c r="H46" i="52"/>
  <c r="H47" i="52"/>
  <c r="H48" i="52"/>
  <c r="H49" i="52"/>
  <c r="H50" i="52"/>
  <c r="H51" i="52"/>
  <c r="H52" i="52"/>
  <c r="H53" i="52"/>
  <c r="H54" i="52"/>
  <c r="H55" i="52"/>
  <c r="H12" i="52"/>
  <c r="C36" i="17" l="1"/>
  <c r="C31" i="17"/>
  <c r="D12" i="19" l="1"/>
  <c r="C12" i="17" l="1"/>
  <c r="C19" i="17"/>
  <c r="L14" i="7"/>
  <c r="E16" i="38"/>
  <c r="E25" i="38" s="1"/>
  <c r="E17" i="38"/>
  <c r="E18" i="38"/>
  <c r="E19" i="38"/>
  <c r="E20" i="38"/>
  <c r="E21" i="38"/>
  <c r="E22" i="38"/>
  <c r="E23" i="38"/>
  <c r="E24" i="38"/>
  <c r="E15" i="38"/>
  <c r="H25" i="38"/>
  <c r="G25" i="38"/>
  <c r="F25" i="38"/>
  <c r="J25" i="38"/>
  <c r="F13" i="64" l="1"/>
  <c r="G52" i="62" l="1"/>
  <c r="G51" i="62"/>
  <c r="G50" i="62"/>
  <c r="G49" i="62"/>
  <c r="G48" i="62"/>
  <c r="G47" i="62"/>
  <c r="G46" i="62"/>
  <c r="G45" i="62"/>
  <c r="G44" i="62"/>
  <c r="G43" i="62"/>
  <c r="G42" i="62"/>
  <c r="G41" i="62"/>
  <c r="G40" i="62"/>
  <c r="G38" i="62"/>
  <c r="G37" i="62"/>
  <c r="G36" i="62"/>
  <c r="G35" i="62"/>
  <c r="G34" i="62"/>
  <c r="G33" i="62"/>
  <c r="G32" i="62"/>
  <c r="G31" i="62"/>
  <c r="G30" i="62"/>
  <c r="G29" i="62"/>
  <c r="G28" i="62"/>
  <c r="G27" i="62"/>
  <c r="G26" i="62"/>
  <c r="G25" i="62"/>
  <c r="G24" i="62"/>
  <c r="G22" i="62"/>
  <c r="G21" i="62"/>
  <c r="G20" i="62"/>
  <c r="G19" i="62"/>
  <c r="G18" i="62"/>
  <c r="G17" i="62"/>
  <c r="G16" i="62"/>
  <c r="G15" i="62"/>
  <c r="G14" i="62"/>
  <c r="G13" i="62"/>
  <c r="G12" i="62"/>
  <c r="G54" i="62" s="1"/>
  <c r="D14" i="37" l="1"/>
  <c r="D7" i="13"/>
  <c r="D9" i="13"/>
  <c r="E23" i="36" l="1"/>
  <c r="F18" i="36"/>
  <c r="D9" i="20" l="1"/>
  <c r="F21" i="36" l="1"/>
  <c r="F20" i="36"/>
  <c r="F44" i="67" l="1"/>
  <c r="F43" i="67"/>
  <c r="F42" i="67"/>
  <c r="F41" i="67"/>
  <c r="F40" i="67"/>
  <c r="F39" i="67"/>
  <c r="F37" i="67" s="1"/>
  <c r="F38" i="67"/>
  <c r="F36" i="67"/>
  <c r="F35" i="67" s="1"/>
  <c r="F34" i="67"/>
  <c r="F33" i="67"/>
  <c r="F32" i="67"/>
  <c r="F30" i="67"/>
  <c r="F29" i="67"/>
  <c r="F28" i="67"/>
  <c r="F27" i="67"/>
  <c r="F26" i="67"/>
  <c r="F24" i="67" s="1"/>
  <c r="F25" i="67"/>
  <c r="F23" i="67"/>
  <c r="F22" i="67"/>
  <c r="F20" i="67"/>
  <c r="F19" i="67"/>
  <c r="F15" i="67"/>
  <c r="F10" i="67"/>
  <c r="F8" i="67" s="1"/>
  <c r="F9" i="67"/>
  <c r="F18" i="67" l="1"/>
  <c r="F21" i="67"/>
  <c r="F31" i="67"/>
  <c r="F17" i="67"/>
  <c r="F46" i="67" s="1"/>
  <c r="F42" i="66"/>
  <c r="F41" i="66"/>
  <c r="F40" i="66"/>
  <c r="F39" i="66"/>
  <c r="F38" i="66"/>
  <c r="F37" i="66"/>
  <c r="F36" i="66"/>
  <c r="F34" i="66"/>
  <c r="F33" i="66"/>
  <c r="F32" i="66"/>
  <c r="F31" i="66"/>
  <c r="F30" i="66"/>
  <c r="F29" i="66"/>
  <c r="F28" i="66"/>
  <c r="F27" i="66"/>
  <c r="F26" i="66"/>
  <c r="F24" i="66"/>
  <c r="F23" i="66"/>
  <c r="F22" i="66"/>
  <c r="F20" i="66"/>
  <c r="F19" i="66"/>
  <c r="F18" i="66" s="1"/>
  <c r="F17" i="66"/>
  <c r="F16" i="66"/>
  <c r="F15" i="66"/>
  <c r="F14" i="66"/>
  <c r="F13" i="66"/>
  <c r="F12" i="66" s="1"/>
  <c r="F8" i="66"/>
  <c r="F21" i="66" l="1"/>
  <c r="F25" i="66"/>
  <c r="F45" i="67"/>
  <c r="F35" i="66"/>
  <c r="F11" i="66" s="1"/>
  <c r="F44" i="66" l="1"/>
  <c r="F43" i="66"/>
  <c r="H8" i="10" l="1"/>
  <c r="C10" i="18" l="1"/>
  <c r="E51" i="20"/>
  <c r="E50" i="20" s="1"/>
  <c r="C35" i="17"/>
  <c r="C33" i="17"/>
  <c r="C14" i="17"/>
  <c r="E43" i="32"/>
  <c r="D43" i="32"/>
  <c r="C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3" i="32" l="1"/>
  <c r="D23" i="36" l="1"/>
  <c r="C23" i="36"/>
  <c r="F17" i="36"/>
  <c r="F16" i="36"/>
  <c r="F15" i="36"/>
  <c r="F14" i="36"/>
  <c r="F13" i="36"/>
  <c r="F12" i="36"/>
  <c r="F11" i="36"/>
  <c r="F10" i="36"/>
  <c r="F9" i="36"/>
  <c r="F23" i="36" l="1"/>
  <c r="D14" i="13"/>
  <c r="C30" i="17" l="1"/>
  <c r="D37" i="13"/>
  <c r="E34" i="19"/>
  <c r="E33" i="19" s="1"/>
  <c r="H23" i="10"/>
  <c r="H18" i="10" l="1"/>
  <c r="F8" i="60"/>
  <c r="H93" i="61"/>
  <c r="H85" i="61"/>
  <c r="H77" i="61"/>
  <c r="H69" i="61"/>
  <c r="H61" i="61"/>
  <c r="H53" i="61"/>
  <c r="H10" i="61"/>
  <c r="H92" i="57" l="1"/>
  <c r="H91" i="57"/>
  <c r="H87" i="57"/>
  <c r="H86" i="57"/>
  <c r="H84" i="57"/>
  <c r="H83" i="57"/>
  <c r="H79" i="57"/>
  <c r="H78" i="57"/>
  <c r="H76" i="57"/>
  <c r="H75" i="57"/>
  <c r="H71" i="57"/>
  <c r="H70" i="57"/>
  <c r="H68" i="57"/>
  <c r="H67" i="57"/>
  <c r="H63" i="57"/>
  <c r="H62" i="57"/>
  <c r="H60" i="57"/>
  <c r="H59" i="57"/>
  <c r="H55" i="57"/>
  <c r="H54" i="57"/>
  <c r="H52" i="57"/>
  <c r="H51" i="57"/>
  <c r="H47" i="57"/>
  <c r="H46" i="57"/>
  <c r="H44" i="57"/>
  <c r="H43" i="57"/>
  <c r="H39" i="57"/>
  <c r="H38" i="57"/>
  <c r="H36" i="57"/>
  <c r="H35" i="57"/>
  <c r="H31" i="57"/>
  <c r="H30" i="57"/>
  <c r="F33" i="60"/>
  <c r="F32" i="60"/>
  <c r="F31" i="60"/>
  <c r="F29" i="60"/>
  <c r="F28" i="60"/>
  <c r="F25" i="60"/>
  <c r="F24" i="60"/>
  <c r="F22" i="60"/>
  <c r="F20" i="60"/>
  <c r="F19" i="60"/>
  <c r="F17" i="60"/>
  <c r="F16" i="60"/>
  <c r="F15" i="60"/>
  <c r="F14" i="60"/>
  <c r="F13" i="60"/>
  <c r="F12" i="60"/>
  <c r="F11" i="60"/>
  <c r="F9" i="60"/>
  <c r="F17" i="59"/>
  <c r="F13" i="59"/>
  <c r="F10" i="59"/>
  <c r="F9" i="59"/>
  <c r="L27" i="58"/>
  <c r="L26" i="58"/>
  <c r="L25" i="58"/>
  <c r="L24" i="58"/>
  <c r="L23" i="58"/>
  <c r="L22" i="58"/>
  <c r="L21" i="58"/>
  <c r="L20" i="58"/>
  <c r="L19" i="58"/>
  <c r="L18" i="58"/>
  <c r="L17" i="58"/>
  <c r="L16" i="58"/>
  <c r="L15" i="58"/>
  <c r="L14" i="58"/>
  <c r="L13" i="58"/>
  <c r="L12" i="58"/>
  <c r="L11" i="58"/>
  <c r="L10" i="58"/>
  <c r="H29" i="56"/>
  <c r="H25" i="56"/>
  <c r="H24" i="56"/>
  <c r="H23" i="56"/>
  <c r="H22" i="56"/>
  <c r="H21" i="56"/>
  <c r="H10" i="56"/>
  <c r="H9" i="56" s="1"/>
  <c r="F33" i="47"/>
  <c r="F32" i="47"/>
  <c r="F31" i="47"/>
  <c r="F29" i="47"/>
  <c r="F28" i="47"/>
  <c r="F25" i="47"/>
  <c r="F24" i="47"/>
  <c r="F22" i="47"/>
  <c r="F20" i="47"/>
  <c r="F19" i="47"/>
  <c r="F17" i="47"/>
  <c r="F16" i="47"/>
  <c r="F14" i="47"/>
  <c r="F9" i="47"/>
  <c r="F11" i="11"/>
  <c r="F34" i="60" l="1"/>
  <c r="H14" i="10" s="1"/>
  <c r="H29" i="10" s="1"/>
  <c r="F8" i="59"/>
  <c r="H61" i="57"/>
  <c r="H77" i="57"/>
  <c r="H53" i="57"/>
  <c r="H69" i="57"/>
  <c r="H45" i="57"/>
  <c r="H37" i="57"/>
  <c r="H85" i="57"/>
  <c r="C268" i="52"/>
  <c r="D268" i="52"/>
  <c r="E268" i="52"/>
  <c r="G268" i="52"/>
  <c r="J265" i="52"/>
  <c r="J266" i="52"/>
  <c r="H267" i="52"/>
  <c r="H266" i="52"/>
  <c r="H265" i="52"/>
  <c r="H252" i="52"/>
  <c r="D235" i="52"/>
  <c r="E235" i="52"/>
  <c r="G235" i="52"/>
  <c r="C235" i="52"/>
  <c r="C163" i="52" l="1"/>
  <c r="H167" i="52"/>
  <c r="F21" i="11" l="1"/>
  <c r="D130" i="52"/>
  <c r="E130" i="52"/>
  <c r="G130" i="52"/>
  <c r="C130" i="52"/>
  <c r="G117" i="52"/>
  <c r="I85" i="52"/>
  <c r="I90" i="52"/>
  <c r="F90" i="52" s="1"/>
  <c r="I91" i="52"/>
  <c r="F91" i="52" s="1"/>
  <c r="J17" i="38"/>
  <c r="J15" i="38"/>
  <c r="J16" i="38"/>
  <c r="L16" i="38"/>
  <c r="L17" i="38"/>
  <c r="K16" i="38"/>
  <c r="J18" i="38"/>
  <c r="I61" i="52" l="1"/>
  <c r="I53" i="52"/>
  <c r="I55" i="52"/>
  <c r="F55" i="52" s="1"/>
  <c r="D43" i="20"/>
  <c r="D42" i="20" s="1"/>
  <c r="E43" i="20"/>
  <c r="E42" i="20" s="1"/>
  <c r="F43" i="20"/>
  <c r="F42" i="20" s="1"/>
  <c r="G48" i="20"/>
  <c r="G38" i="20" l="1"/>
  <c r="G36" i="20" s="1"/>
  <c r="G35" i="20" s="1"/>
  <c r="E38" i="20"/>
  <c r="E36" i="20" s="1"/>
  <c r="E35" i="20" s="1"/>
  <c r="F38" i="20"/>
  <c r="F36" i="20" s="1"/>
  <c r="F35" i="20" s="1"/>
  <c r="D38" i="20"/>
  <c r="D36" i="20" s="1"/>
  <c r="D35" i="20" s="1"/>
  <c r="G47" i="20"/>
  <c r="G45" i="20"/>
  <c r="G46" i="20"/>
  <c r="G44" i="20"/>
  <c r="D8" i="20"/>
  <c r="G43" i="20" l="1"/>
  <c r="G24" i="20"/>
  <c r="G25" i="20"/>
  <c r="G26" i="20"/>
  <c r="G27" i="20"/>
  <c r="F17" i="20"/>
  <c r="F16" i="20" s="1"/>
  <c r="E17" i="20"/>
  <c r="E16" i="20" s="1"/>
  <c r="D17" i="20"/>
  <c r="D16" i="20" s="1"/>
  <c r="G19" i="20"/>
  <c r="G20" i="20"/>
  <c r="E15" i="55"/>
  <c r="G15" i="55" s="1"/>
  <c r="G14" i="55"/>
  <c r="G11" i="55"/>
  <c r="G13" i="55"/>
  <c r="G16" i="20" l="1"/>
  <c r="G9" i="55"/>
  <c r="G8" i="55" s="1"/>
  <c r="G21" i="20" l="1"/>
  <c r="G18" i="20"/>
  <c r="F17" i="55"/>
  <c r="E17" i="55"/>
  <c r="D17" i="55"/>
  <c r="I84" i="52"/>
  <c r="F84" i="52" s="1"/>
  <c r="I95" i="52"/>
  <c r="F95" i="52" s="1"/>
  <c r="I96" i="52"/>
  <c r="F96" i="52" s="1"/>
  <c r="I97" i="52"/>
  <c r="F97" i="52" s="1"/>
  <c r="I89" i="52"/>
  <c r="F89" i="52" s="1"/>
  <c r="N17" i="38"/>
  <c r="G12" i="20"/>
  <c r="C25" i="17"/>
  <c r="D9" i="55"/>
  <c r="E9" i="55"/>
  <c r="F9" i="55"/>
  <c r="K16" i="41"/>
  <c r="K17" i="41"/>
  <c r="K15" i="41"/>
  <c r="J16" i="41"/>
  <c r="J17" i="41"/>
  <c r="J18" i="41"/>
  <c r="N18" i="41" s="1"/>
  <c r="J15" i="41"/>
  <c r="N15" i="41" s="1"/>
  <c r="I49" i="52"/>
  <c r="F49" i="52" s="1"/>
  <c r="I50" i="52"/>
  <c r="F50" i="52" s="1"/>
  <c r="I51" i="52"/>
  <c r="I52" i="52"/>
  <c r="F52" i="52" s="1"/>
  <c r="F53" i="52"/>
  <c r="I48" i="52"/>
  <c r="F48" i="52" s="1"/>
  <c r="J247" i="52"/>
  <c r="F247" i="52" s="1"/>
  <c r="J248" i="52"/>
  <c r="F248" i="52" s="1"/>
  <c r="J249" i="52"/>
  <c r="J250" i="52"/>
  <c r="F250" i="52" s="1"/>
  <c r="J246" i="52"/>
  <c r="I239" i="52"/>
  <c r="F239" i="52" s="1"/>
  <c r="I240" i="52"/>
  <c r="F240" i="52" s="1"/>
  <c r="I241" i="52"/>
  <c r="I242" i="52"/>
  <c r="I243" i="52"/>
  <c r="F243" i="52" s="1"/>
  <c r="I244" i="52"/>
  <c r="F244" i="52" s="1"/>
  <c r="I245" i="52"/>
  <c r="I238" i="52"/>
  <c r="I193" i="52"/>
  <c r="F193" i="52" s="1"/>
  <c r="I194" i="52"/>
  <c r="F194" i="52" s="1"/>
  <c r="I195" i="52"/>
  <c r="F195" i="52" s="1"/>
  <c r="I192" i="52"/>
  <c r="F192" i="52" s="1"/>
  <c r="I157" i="52"/>
  <c r="F157" i="52" s="1"/>
  <c r="I158" i="52"/>
  <c r="F158" i="52" s="1"/>
  <c r="I159" i="52"/>
  <c r="F159" i="52" s="1"/>
  <c r="I160" i="52"/>
  <c r="F160" i="52" s="1"/>
  <c r="I161" i="52"/>
  <c r="F161" i="52" s="1"/>
  <c r="I162" i="52"/>
  <c r="I156" i="52"/>
  <c r="F156" i="52" s="1"/>
  <c r="K114" i="52"/>
  <c r="F114" i="52" s="1"/>
  <c r="K113" i="52"/>
  <c r="F113" i="52" s="1"/>
  <c r="I109" i="52"/>
  <c r="F109" i="52" s="1"/>
  <c r="I110" i="52"/>
  <c r="F110" i="52" s="1"/>
  <c r="I111" i="52"/>
  <c r="F111" i="52" s="1"/>
  <c r="I112" i="52"/>
  <c r="F112" i="52" s="1"/>
  <c r="I108" i="52"/>
  <c r="F108" i="52" s="1"/>
  <c r="F241" i="52"/>
  <c r="F242" i="52"/>
  <c r="F249" i="52"/>
  <c r="N16" i="41"/>
  <c r="N17" i="41"/>
  <c r="C76" i="52"/>
  <c r="C56" i="52"/>
  <c r="D45" i="52"/>
  <c r="E45" i="52"/>
  <c r="G45" i="52"/>
  <c r="J45" i="52"/>
  <c r="K45" i="52"/>
  <c r="C45" i="52"/>
  <c r="K18" i="7"/>
  <c r="K19" i="7"/>
  <c r="K20" i="7"/>
  <c r="K21" i="7"/>
  <c r="J15" i="7"/>
  <c r="J16" i="7"/>
  <c r="J17" i="7"/>
  <c r="J18" i="7"/>
  <c r="J19" i="7"/>
  <c r="N19" i="7" s="1"/>
  <c r="J20" i="7"/>
  <c r="J21" i="7"/>
  <c r="J22" i="7"/>
  <c r="N22" i="7" s="1"/>
  <c r="J14" i="7"/>
  <c r="E56" i="20"/>
  <c r="E9" i="20"/>
  <c r="E8" i="20" s="1"/>
  <c r="E23" i="20"/>
  <c r="E29" i="20"/>
  <c r="E28" i="20" s="1"/>
  <c r="E34" i="20"/>
  <c r="F51" i="20"/>
  <c r="F50" i="20" s="1"/>
  <c r="F56" i="20"/>
  <c r="F9" i="20"/>
  <c r="F8" i="20" s="1"/>
  <c r="F23" i="20"/>
  <c r="F29" i="20"/>
  <c r="F34" i="20"/>
  <c r="D51" i="20"/>
  <c r="D23" i="20"/>
  <c r="D29" i="20"/>
  <c r="D28" i="20" s="1"/>
  <c r="D34" i="20"/>
  <c r="D33" i="20" s="1"/>
  <c r="E105" i="52"/>
  <c r="E117" i="52"/>
  <c r="I83" i="52"/>
  <c r="F83" i="52" s="1"/>
  <c r="F85" i="52"/>
  <c r="I86" i="52"/>
  <c r="F86" i="52" s="1"/>
  <c r="I87" i="52"/>
  <c r="F87" i="52" s="1"/>
  <c r="I88" i="52"/>
  <c r="F88" i="52" s="1"/>
  <c r="I92" i="52"/>
  <c r="F92" i="52" s="1"/>
  <c r="I94" i="52"/>
  <c r="F94" i="52" s="1"/>
  <c r="I98" i="52"/>
  <c r="F98" i="52" s="1"/>
  <c r="I100" i="52"/>
  <c r="F100" i="52" s="1"/>
  <c r="I102" i="52"/>
  <c r="F102" i="52" s="1"/>
  <c r="I103" i="52"/>
  <c r="F103" i="52" s="1"/>
  <c r="I104" i="52"/>
  <c r="F104" i="52" s="1"/>
  <c r="I116" i="52"/>
  <c r="F116" i="52" s="1"/>
  <c r="I120" i="52"/>
  <c r="F120" i="52" s="1"/>
  <c r="I121" i="52"/>
  <c r="F121" i="52" s="1"/>
  <c r="I122" i="52"/>
  <c r="F122" i="52" s="1"/>
  <c r="I123" i="52"/>
  <c r="F123" i="52" s="1"/>
  <c r="I124" i="52"/>
  <c r="F124" i="52" s="1"/>
  <c r="I125" i="52"/>
  <c r="F125" i="52" s="1"/>
  <c r="I126" i="52"/>
  <c r="F126" i="52" s="1"/>
  <c r="I127" i="52"/>
  <c r="F127" i="52" s="1"/>
  <c r="I128" i="52"/>
  <c r="F128" i="52" s="1"/>
  <c r="I129" i="52"/>
  <c r="F129" i="52" s="1"/>
  <c r="G105" i="52"/>
  <c r="I101" i="52"/>
  <c r="J105" i="52"/>
  <c r="J117" i="52"/>
  <c r="J130" i="52"/>
  <c r="K105" i="52"/>
  <c r="K130" i="52"/>
  <c r="C105" i="52"/>
  <c r="C117" i="52"/>
  <c r="D117" i="52"/>
  <c r="K18" i="38"/>
  <c r="K20" i="38"/>
  <c r="K21" i="38"/>
  <c r="K22" i="38"/>
  <c r="K23" i="38"/>
  <c r="N15" i="38"/>
  <c r="N16" i="38"/>
  <c r="N18" i="38"/>
  <c r="J19" i="38"/>
  <c r="J20" i="38"/>
  <c r="J21" i="38"/>
  <c r="J22" i="38"/>
  <c r="J23" i="38"/>
  <c r="N23" i="38" s="1"/>
  <c r="J24" i="38"/>
  <c r="N24" i="38" s="1"/>
  <c r="H16" i="38"/>
  <c r="H17" i="38"/>
  <c r="P17" i="38" s="1"/>
  <c r="H18" i="38"/>
  <c r="H19" i="38"/>
  <c r="H20" i="38"/>
  <c r="H21" i="38"/>
  <c r="H22" i="38"/>
  <c r="H23" i="38"/>
  <c r="H24" i="38"/>
  <c r="G19" i="38"/>
  <c r="K19" i="38" s="1"/>
  <c r="O19" i="38" s="1"/>
  <c r="G20" i="38"/>
  <c r="G21" i="38"/>
  <c r="G22" i="38"/>
  <c r="G23" i="38"/>
  <c r="G24" i="38"/>
  <c r="K24" i="38" s="1"/>
  <c r="D283" i="52"/>
  <c r="D290" i="52"/>
  <c r="E283" i="52"/>
  <c r="E290" i="52"/>
  <c r="I217" i="52"/>
  <c r="I218" i="52"/>
  <c r="F218" i="52" s="1"/>
  <c r="I219" i="52"/>
  <c r="F219" i="52" s="1"/>
  <c r="I220" i="52"/>
  <c r="F220" i="52" s="1"/>
  <c r="I221" i="52"/>
  <c r="F221" i="52" s="1"/>
  <c r="I222" i="52"/>
  <c r="F222" i="52" s="1"/>
  <c r="I223" i="52"/>
  <c r="F223" i="52" s="1"/>
  <c r="I224" i="52"/>
  <c r="F224" i="52" s="1"/>
  <c r="I225" i="52"/>
  <c r="F225" i="52" s="1"/>
  <c r="I226" i="52"/>
  <c r="F226" i="52" s="1"/>
  <c r="I227" i="52"/>
  <c r="F227" i="52" s="1"/>
  <c r="I228" i="52"/>
  <c r="F228" i="52" s="1"/>
  <c r="I229" i="52"/>
  <c r="F229" i="52" s="1"/>
  <c r="I233" i="52"/>
  <c r="F233" i="52" s="1"/>
  <c r="I252" i="52"/>
  <c r="K253" i="52"/>
  <c r="F253" i="52" s="1"/>
  <c r="I254" i="52"/>
  <c r="F254" i="52" s="1"/>
  <c r="J255" i="52"/>
  <c r="F255" i="52" s="1"/>
  <c r="J256" i="52"/>
  <c r="F256" i="52" s="1"/>
  <c r="I257" i="52"/>
  <c r="F257" i="52" s="1"/>
  <c r="I258" i="52"/>
  <c r="F258" i="52" s="1"/>
  <c r="I259" i="52"/>
  <c r="F259" i="52" s="1"/>
  <c r="I260" i="52"/>
  <c r="F260" i="52" s="1"/>
  <c r="I261" i="52"/>
  <c r="F261" i="52" s="1"/>
  <c r="I262" i="52"/>
  <c r="F262" i="52" s="1"/>
  <c r="J263" i="52"/>
  <c r="F263" i="52" s="1"/>
  <c r="J264" i="52"/>
  <c r="F264" i="52" s="1"/>
  <c r="K267" i="52"/>
  <c r="F267" i="52" s="1"/>
  <c r="K271" i="52"/>
  <c r="F271" i="52" s="1"/>
  <c r="I272" i="52"/>
  <c r="I273" i="52"/>
  <c r="F273" i="52" s="1"/>
  <c r="F277" i="52"/>
  <c r="F278" i="52"/>
  <c r="F280" i="52"/>
  <c r="F281" i="52"/>
  <c r="F282" i="52"/>
  <c r="I287" i="52"/>
  <c r="F287" i="52" s="1"/>
  <c r="I288" i="52"/>
  <c r="F288" i="52" s="1"/>
  <c r="I289" i="52"/>
  <c r="F289" i="52" s="1"/>
  <c r="G283" i="52"/>
  <c r="G290" i="52"/>
  <c r="H238" i="52"/>
  <c r="H239" i="52"/>
  <c r="H240" i="52"/>
  <c r="H241" i="52"/>
  <c r="H242" i="52"/>
  <c r="H243" i="52"/>
  <c r="H244" i="52"/>
  <c r="H245" i="52"/>
  <c r="H246" i="52"/>
  <c r="H247" i="52"/>
  <c r="H248" i="52"/>
  <c r="H249" i="52"/>
  <c r="H250" i="52"/>
  <c r="H253" i="52"/>
  <c r="H254" i="52"/>
  <c r="H255" i="52"/>
  <c r="H256" i="52"/>
  <c r="H257" i="52"/>
  <c r="H258" i="52"/>
  <c r="H259" i="52"/>
  <c r="H260" i="52"/>
  <c r="H261" i="52"/>
  <c r="H262" i="52"/>
  <c r="H263" i="52"/>
  <c r="H264" i="52"/>
  <c r="H271" i="52"/>
  <c r="H272" i="52"/>
  <c r="H273" i="52"/>
  <c r="H287" i="52"/>
  <c r="H288" i="52"/>
  <c r="H289" i="52"/>
  <c r="J235" i="52"/>
  <c r="J283" i="52"/>
  <c r="J295" i="52" s="1"/>
  <c r="J290" i="52"/>
  <c r="K235" i="52"/>
  <c r="K290" i="52"/>
  <c r="C283" i="52"/>
  <c r="C290" i="52"/>
  <c r="K17" i="40"/>
  <c r="K18" i="40"/>
  <c r="K19" i="40"/>
  <c r="K15" i="40"/>
  <c r="J16" i="40"/>
  <c r="N16" i="40" s="1"/>
  <c r="J17" i="40"/>
  <c r="J18" i="40"/>
  <c r="J19" i="40"/>
  <c r="J20" i="40"/>
  <c r="J15" i="40"/>
  <c r="J15" i="39"/>
  <c r="N15" i="39" s="1"/>
  <c r="K21" i="39"/>
  <c r="K22" i="39"/>
  <c r="O22" i="39" s="1"/>
  <c r="K23" i="39"/>
  <c r="G15" i="39"/>
  <c r="H15" i="39"/>
  <c r="K16" i="39"/>
  <c r="K17" i="39"/>
  <c r="J16" i="39"/>
  <c r="N16" i="39" s="1"/>
  <c r="N25" i="39" s="1"/>
  <c r="J17" i="39"/>
  <c r="N17" i="39" s="1"/>
  <c r="J18" i="39"/>
  <c r="N18" i="39" s="1"/>
  <c r="J19" i="39"/>
  <c r="J20" i="39"/>
  <c r="J21" i="39"/>
  <c r="J22" i="39"/>
  <c r="J23" i="39"/>
  <c r="L16" i="39"/>
  <c r="O16" i="39"/>
  <c r="H16" i="39"/>
  <c r="E16" i="39" s="1"/>
  <c r="C153" i="52"/>
  <c r="C170" i="52" s="1"/>
  <c r="C169" i="52"/>
  <c r="J153" i="52"/>
  <c r="K153" i="52"/>
  <c r="D153" i="52"/>
  <c r="E153" i="52"/>
  <c r="I136" i="52"/>
  <c r="F136" i="52" s="1"/>
  <c r="I137" i="52"/>
  <c r="F137" i="52" s="1"/>
  <c r="I138" i="52"/>
  <c r="F138" i="52" s="1"/>
  <c r="I139" i="52"/>
  <c r="F139" i="52" s="1"/>
  <c r="I140" i="52"/>
  <c r="F140" i="52" s="1"/>
  <c r="I141" i="52"/>
  <c r="F141" i="52" s="1"/>
  <c r="I142" i="52"/>
  <c r="F142" i="52" s="1"/>
  <c r="I143" i="52"/>
  <c r="F143" i="52" s="1"/>
  <c r="I144" i="52"/>
  <c r="F144" i="52" s="1"/>
  <c r="I145" i="52"/>
  <c r="F145" i="52" s="1"/>
  <c r="I146" i="52"/>
  <c r="F146" i="52" s="1"/>
  <c r="I147" i="52"/>
  <c r="F147" i="52" s="1"/>
  <c r="I148" i="52"/>
  <c r="F148" i="52" s="1"/>
  <c r="I149" i="52"/>
  <c r="F149" i="52" s="1"/>
  <c r="G153" i="52"/>
  <c r="E23" i="11"/>
  <c r="D23" i="11"/>
  <c r="F7" i="11"/>
  <c r="F8" i="11"/>
  <c r="F9" i="11"/>
  <c r="F10" i="11"/>
  <c r="F14" i="11"/>
  <c r="F15" i="11"/>
  <c r="G11" i="20"/>
  <c r="G13" i="20"/>
  <c r="G14" i="20"/>
  <c r="G15" i="20"/>
  <c r="G10" i="20"/>
  <c r="F365" i="53"/>
  <c r="F366" i="53"/>
  <c r="F364" i="53"/>
  <c r="F359" i="53"/>
  <c r="I117" i="53"/>
  <c r="F117" i="53"/>
  <c r="F122" i="53"/>
  <c r="I123" i="53"/>
  <c r="F123" i="53" s="1"/>
  <c r="I124" i="53"/>
  <c r="F124" i="53" s="1"/>
  <c r="I83" i="53"/>
  <c r="F83" i="53" s="1"/>
  <c r="I22" i="53"/>
  <c r="F22" i="53" s="1"/>
  <c r="I31" i="53"/>
  <c r="F31" i="53" s="1"/>
  <c r="F27" i="53"/>
  <c r="I28" i="53"/>
  <c r="F28" i="53" s="1"/>
  <c r="I29" i="53"/>
  <c r="F29" i="53" s="1"/>
  <c r="I30" i="53"/>
  <c r="F30" i="53" s="1"/>
  <c r="I51" i="53"/>
  <c r="F51" i="53" s="1"/>
  <c r="I47" i="53"/>
  <c r="F47" i="53" s="1"/>
  <c r="F55" i="53"/>
  <c r="I56" i="53"/>
  <c r="F56" i="53" s="1"/>
  <c r="I57" i="53"/>
  <c r="F57" i="53" s="1"/>
  <c r="I54" i="53"/>
  <c r="F54" i="53" s="1"/>
  <c r="J321" i="53"/>
  <c r="J332" i="53"/>
  <c r="J333" i="53"/>
  <c r="J334" i="53"/>
  <c r="F334" i="53" s="1"/>
  <c r="J335" i="53"/>
  <c r="J336" i="53"/>
  <c r="J341" i="53"/>
  <c r="J342" i="53"/>
  <c r="J349" i="53"/>
  <c r="J350" i="53"/>
  <c r="J367" i="53"/>
  <c r="J379" i="53" s="1"/>
  <c r="J374" i="53"/>
  <c r="J243" i="53"/>
  <c r="J262" i="53"/>
  <c r="J277" i="53"/>
  <c r="J207" i="53"/>
  <c r="J217" i="53"/>
  <c r="J224" i="53"/>
  <c r="J134" i="53"/>
  <c r="J150" i="53" s="1"/>
  <c r="J162" i="53"/>
  <c r="J184" i="53"/>
  <c r="K321" i="53"/>
  <c r="K351" i="53"/>
  <c r="K352" i="53"/>
  <c r="K367" i="53"/>
  <c r="K374" i="53"/>
  <c r="K243" i="53"/>
  <c r="K262" i="53"/>
  <c r="K277" i="53"/>
  <c r="K207" i="53"/>
  <c r="K225" i="53" s="1"/>
  <c r="K217" i="53"/>
  <c r="K224" i="53"/>
  <c r="K150" i="53"/>
  <c r="K158" i="53"/>
  <c r="K159" i="53"/>
  <c r="F159" i="53" s="1"/>
  <c r="K184" i="53"/>
  <c r="I284" i="53"/>
  <c r="I285" i="53"/>
  <c r="I286" i="53"/>
  <c r="I288" i="53"/>
  <c r="I289" i="53"/>
  <c r="F289" i="53" s="1"/>
  <c r="I291" i="53"/>
  <c r="F291" i="53" s="1"/>
  <c r="I292" i="53"/>
  <c r="I293" i="53"/>
  <c r="I294" i="53"/>
  <c r="I296" i="53"/>
  <c r="I297" i="53"/>
  <c r="I298" i="53"/>
  <c r="I299" i="53"/>
  <c r="F299" i="53" s="1"/>
  <c r="I300" i="53"/>
  <c r="F300" i="53" s="1"/>
  <c r="I302" i="53"/>
  <c r="I303" i="53"/>
  <c r="I304" i="53"/>
  <c r="I305" i="53"/>
  <c r="I306" i="53"/>
  <c r="I307" i="53"/>
  <c r="I308" i="53"/>
  <c r="I309" i="53"/>
  <c r="F309" i="53" s="1"/>
  <c r="I311" i="53"/>
  <c r="I312" i="53"/>
  <c r="I313" i="53"/>
  <c r="I314" i="53"/>
  <c r="I318" i="53"/>
  <c r="I319" i="53"/>
  <c r="F319" i="53" s="1"/>
  <c r="I324" i="53"/>
  <c r="F324" i="53" s="1"/>
  <c r="I325" i="53"/>
  <c r="I326" i="53"/>
  <c r="I327" i="53"/>
  <c r="I328" i="53"/>
  <c r="I329" i="53"/>
  <c r="I330" i="53"/>
  <c r="I331" i="53"/>
  <c r="F331" i="53" s="1"/>
  <c r="I338" i="53"/>
  <c r="F338" i="53" s="1"/>
  <c r="I340" i="53"/>
  <c r="I343" i="53"/>
  <c r="I344" i="53"/>
  <c r="I345" i="53"/>
  <c r="I346" i="53"/>
  <c r="I347" i="53"/>
  <c r="I348" i="53"/>
  <c r="F348" i="53" s="1"/>
  <c r="I349" i="53"/>
  <c r="F349" i="53" s="1"/>
  <c r="I350" i="53"/>
  <c r="I355" i="53"/>
  <c r="I356" i="53"/>
  <c r="I357" i="53"/>
  <c r="I371" i="53"/>
  <c r="I372" i="53"/>
  <c r="I373" i="53"/>
  <c r="F373" i="53" s="1"/>
  <c r="I230" i="53"/>
  <c r="I232" i="53"/>
  <c r="I234" i="53"/>
  <c r="I235" i="53"/>
  <c r="F235" i="53" s="1"/>
  <c r="I237" i="53"/>
  <c r="F237" i="53" s="1"/>
  <c r="I238" i="53"/>
  <c r="I239" i="53"/>
  <c r="I241" i="53"/>
  <c r="F241" i="53" s="1"/>
  <c r="I242" i="53"/>
  <c r="F242" i="53" s="1"/>
  <c r="I253" i="53"/>
  <c r="I254" i="53"/>
  <c r="I255" i="53"/>
  <c r="F255" i="53" s="1"/>
  <c r="I256" i="53"/>
  <c r="I267" i="53"/>
  <c r="I269" i="53"/>
  <c r="F269" i="53" s="1"/>
  <c r="I270" i="53"/>
  <c r="I272" i="53"/>
  <c r="I274" i="53"/>
  <c r="I276" i="53"/>
  <c r="I191" i="53"/>
  <c r="I193" i="53"/>
  <c r="I195" i="53"/>
  <c r="I197" i="53"/>
  <c r="I198" i="53"/>
  <c r="F198" i="53" s="1"/>
  <c r="I200" i="53"/>
  <c r="F200" i="53" s="1"/>
  <c r="I201" i="53"/>
  <c r="I202" i="53"/>
  <c r="I204" i="53"/>
  <c r="I205" i="53"/>
  <c r="I206" i="53"/>
  <c r="I210" i="53"/>
  <c r="F210" i="53" s="1"/>
  <c r="I211" i="53"/>
  <c r="I212" i="53"/>
  <c r="I213" i="53"/>
  <c r="I214" i="53"/>
  <c r="I215" i="53"/>
  <c r="I216" i="53"/>
  <c r="I222" i="53"/>
  <c r="I223" i="53"/>
  <c r="I111" i="53"/>
  <c r="I112" i="53"/>
  <c r="I114" i="53"/>
  <c r="I115" i="53"/>
  <c r="I116" i="53"/>
  <c r="I119" i="53"/>
  <c r="I121" i="53"/>
  <c r="F121" i="53" s="1"/>
  <c r="I126" i="53"/>
  <c r="F126" i="53" s="1"/>
  <c r="I127" i="53"/>
  <c r="I129" i="53"/>
  <c r="I130" i="53"/>
  <c r="I132" i="53"/>
  <c r="I133" i="53"/>
  <c r="I135" i="53"/>
  <c r="I136" i="53"/>
  <c r="F136" i="53" s="1"/>
  <c r="I137" i="53"/>
  <c r="F137" i="53" s="1"/>
  <c r="I138" i="53"/>
  <c r="I139" i="53"/>
  <c r="I141" i="53"/>
  <c r="I143" i="53"/>
  <c r="I145" i="53"/>
  <c r="I146" i="53"/>
  <c r="I147" i="53"/>
  <c r="F147" i="53" s="1"/>
  <c r="H148" i="53"/>
  <c r="I148" i="53" s="1"/>
  <c r="I149" i="53"/>
  <c r="I153" i="53"/>
  <c r="I154" i="53"/>
  <c r="I155" i="53"/>
  <c r="I156" i="53"/>
  <c r="F156" i="53" s="1"/>
  <c r="I157" i="53"/>
  <c r="F157" i="53" s="1"/>
  <c r="I161" i="53"/>
  <c r="I166" i="53"/>
  <c r="I168" i="53"/>
  <c r="I170" i="53"/>
  <c r="I172" i="53"/>
  <c r="I174" i="53"/>
  <c r="F174" i="53" s="1"/>
  <c r="I176" i="53"/>
  <c r="F176" i="53" s="1"/>
  <c r="I178" i="53"/>
  <c r="I179" i="53"/>
  <c r="I181" i="53"/>
  <c r="F181" i="53" s="1"/>
  <c r="I182" i="53"/>
  <c r="I183" i="53"/>
  <c r="I13" i="53"/>
  <c r="F13" i="53"/>
  <c r="I53" i="53"/>
  <c r="F53" i="53" s="1"/>
  <c r="I15" i="53"/>
  <c r="F15" i="53" s="1"/>
  <c r="I16" i="53"/>
  <c r="F16" i="53" s="1"/>
  <c r="I17" i="53"/>
  <c r="F17" i="53" s="1"/>
  <c r="I40" i="53"/>
  <c r="F40" i="53" s="1"/>
  <c r="I21" i="53"/>
  <c r="F21" i="53" s="1"/>
  <c r="I24" i="53"/>
  <c r="F24" i="53" s="1"/>
  <c r="I26" i="53"/>
  <c r="F26" i="53" s="1"/>
  <c r="I32" i="53"/>
  <c r="F32" i="53" s="1"/>
  <c r="I44" i="53"/>
  <c r="F44" i="53" s="1"/>
  <c r="I34" i="53"/>
  <c r="F34" i="53" s="1"/>
  <c r="I35" i="53"/>
  <c r="F35" i="53" s="1"/>
  <c r="I37" i="53"/>
  <c r="F37" i="53" s="1"/>
  <c r="I25" i="53"/>
  <c r="F25" i="53" s="1"/>
  <c r="I43" i="53"/>
  <c r="F43" i="53" s="1"/>
  <c r="I46" i="53"/>
  <c r="F46" i="53"/>
  <c r="I20" i="53"/>
  <c r="I38" i="53"/>
  <c r="F38" i="53" s="1"/>
  <c r="I48" i="53"/>
  <c r="F48" i="53" s="1"/>
  <c r="I49" i="53"/>
  <c r="F49" i="53" s="1"/>
  <c r="I50" i="53"/>
  <c r="F50" i="53" s="1"/>
  <c r="I14" i="53"/>
  <c r="F14" i="53" s="1"/>
  <c r="I33" i="53"/>
  <c r="F33" i="53" s="1"/>
  <c r="I41" i="53"/>
  <c r="F41" i="53" s="1"/>
  <c r="I42" i="53"/>
  <c r="F42" i="53" s="1"/>
  <c r="I19" i="53"/>
  <c r="F19" i="53" s="1"/>
  <c r="I58" i="53"/>
  <c r="F58" i="53" s="1"/>
  <c r="I59" i="53"/>
  <c r="F59" i="53" s="1"/>
  <c r="I61" i="53"/>
  <c r="F61" i="53" s="1"/>
  <c r="I66" i="53"/>
  <c r="F66" i="53" s="1"/>
  <c r="I67" i="53"/>
  <c r="I74" i="53" s="1"/>
  <c r="I68" i="53"/>
  <c r="F68" i="53" s="1"/>
  <c r="I69" i="53"/>
  <c r="F69" i="53"/>
  <c r="I70" i="53"/>
  <c r="F70" i="53" s="1"/>
  <c r="I71" i="53"/>
  <c r="F71" i="53" s="1"/>
  <c r="I73" i="53"/>
  <c r="F73" i="53"/>
  <c r="I80" i="53"/>
  <c r="F80" i="53" s="1"/>
  <c r="I82" i="53"/>
  <c r="F82" i="53" s="1"/>
  <c r="I85" i="53"/>
  <c r="F85" i="53"/>
  <c r="I86" i="53"/>
  <c r="F86" i="53" s="1"/>
  <c r="I87" i="53"/>
  <c r="F87" i="53" s="1"/>
  <c r="I89" i="53"/>
  <c r="F89" i="53" s="1"/>
  <c r="I91" i="53"/>
  <c r="F91" i="53" s="1"/>
  <c r="I92" i="53"/>
  <c r="F92" i="53" s="1"/>
  <c r="F103" i="53" s="1"/>
  <c r="I94" i="53"/>
  <c r="F94" i="53" s="1"/>
  <c r="I95" i="53"/>
  <c r="F95" i="53" s="1"/>
  <c r="I96" i="53"/>
  <c r="F96" i="53"/>
  <c r="I98" i="53"/>
  <c r="F98" i="53" s="1"/>
  <c r="I100" i="53"/>
  <c r="F100" i="53" s="1"/>
  <c r="I102" i="53"/>
  <c r="F102" i="53" s="1"/>
  <c r="H284" i="53"/>
  <c r="H285" i="53"/>
  <c r="H286" i="53"/>
  <c r="H288" i="53"/>
  <c r="H289" i="53"/>
  <c r="H291" i="53"/>
  <c r="H292" i="53"/>
  <c r="H293" i="53"/>
  <c r="H294" i="53"/>
  <c r="H296" i="53"/>
  <c r="H297" i="53"/>
  <c r="H298" i="53"/>
  <c r="H299" i="53"/>
  <c r="H300" i="53"/>
  <c r="H302" i="53"/>
  <c r="H303" i="53"/>
  <c r="H304" i="53"/>
  <c r="H305" i="53"/>
  <c r="H306" i="53"/>
  <c r="H307" i="53"/>
  <c r="H308" i="53"/>
  <c r="H309" i="53"/>
  <c r="H311" i="53"/>
  <c r="H312" i="53"/>
  <c r="H313" i="53"/>
  <c r="H314" i="53"/>
  <c r="H318" i="53"/>
  <c r="H319" i="53"/>
  <c r="H324" i="53"/>
  <c r="H325" i="53"/>
  <c r="H326" i="53"/>
  <c r="H327" i="53"/>
  <c r="H328" i="53"/>
  <c r="H329" i="53"/>
  <c r="H330" i="53"/>
  <c r="H331" i="53"/>
  <c r="H332" i="53"/>
  <c r="H333" i="53"/>
  <c r="H334" i="53"/>
  <c r="H335" i="53"/>
  <c r="H336" i="53"/>
  <c r="H338" i="53"/>
  <c r="H339" i="53"/>
  <c r="H340" i="53"/>
  <c r="H341" i="53"/>
  <c r="H342" i="53"/>
  <c r="H343" i="53"/>
  <c r="H344" i="53"/>
  <c r="H345" i="53"/>
  <c r="H346" i="53"/>
  <c r="H347" i="53"/>
  <c r="H348" i="53"/>
  <c r="H349" i="53"/>
  <c r="H350" i="53"/>
  <c r="H351" i="53"/>
  <c r="H355" i="53"/>
  <c r="H356" i="53"/>
  <c r="H357" i="53"/>
  <c r="H371" i="53"/>
  <c r="H372" i="53"/>
  <c r="H373" i="53"/>
  <c r="H230" i="53"/>
  <c r="H232" i="53"/>
  <c r="H234" i="53"/>
  <c r="H235" i="53"/>
  <c r="H237" i="53"/>
  <c r="H238" i="53"/>
  <c r="H239" i="53"/>
  <c r="H241" i="53"/>
  <c r="H242" i="53"/>
  <c r="H253" i="53"/>
  <c r="H262" i="53" s="1"/>
  <c r="H254" i="53"/>
  <c r="H255" i="53"/>
  <c r="H256" i="53"/>
  <c r="H267" i="53"/>
  <c r="H269" i="53"/>
  <c r="H270" i="53"/>
  <c r="H272" i="53"/>
  <c r="H274" i="53"/>
  <c r="H276" i="53"/>
  <c r="H191" i="53"/>
  <c r="H193" i="53"/>
  <c r="H195" i="53"/>
  <c r="H197" i="53"/>
  <c r="H198" i="53"/>
  <c r="H200" i="53"/>
  <c r="H201" i="53"/>
  <c r="H202" i="53"/>
  <c r="H204" i="53"/>
  <c r="H205" i="53"/>
  <c r="H206" i="53"/>
  <c r="H210" i="53"/>
  <c r="H211" i="53"/>
  <c r="H212" i="53"/>
  <c r="H213" i="53"/>
  <c r="H214" i="53"/>
  <c r="H215" i="53"/>
  <c r="H216" i="53"/>
  <c r="H222" i="53"/>
  <c r="H223" i="53"/>
  <c r="H224" i="53" s="1"/>
  <c r="H111" i="53"/>
  <c r="H112" i="53"/>
  <c r="H114" i="53"/>
  <c r="H115" i="53"/>
  <c r="H116" i="53"/>
  <c r="H119" i="53"/>
  <c r="H121" i="53"/>
  <c r="H126" i="53"/>
  <c r="H127" i="53"/>
  <c r="H129" i="53"/>
  <c r="H130" i="53"/>
  <c r="H132" i="53"/>
  <c r="H123" i="53"/>
  <c r="H124" i="53"/>
  <c r="H133" i="53"/>
  <c r="H134" i="53"/>
  <c r="H135" i="53"/>
  <c r="H136" i="53"/>
  <c r="H117" i="53"/>
  <c r="H137" i="53"/>
  <c r="H138" i="53"/>
  <c r="H139" i="53"/>
  <c r="H141" i="53"/>
  <c r="H143" i="53"/>
  <c r="H144" i="53"/>
  <c r="H145" i="53"/>
  <c r="H146" i="53"/>
  <c r="H147" i="53"/>
  <c r="H149" i="53"/>
  <c r="H153" i="53"/>
  <c r="H154" i="53"/>
  <c r="H155" i="53"/>
  <c r="H156" i="53"/>
  <c r="H157" i="53"/>
  <c r="H158" i="53"/>
  <c r="H159" i="53"/>
  <c r="H161" i="53"/>
  <c r="H166" i="53"/>
  <c r="H168" i="53"/>
  <c r="H170" i="53"/>
  <c r="H172" i="53"/>
  <c r="H174" i="53"/>
  <c r="H176" i="53"/>
  <c r="H178" i="53"/>
  <c r="H179" i="53"/>
  <c r="H181" i="53"/>
  <c r="H182" i="53"/>
  <c r="H183" i="53"/>
  <c r="H13" i="53"/>
  <c r="H53" i="53"/>
  <c r="H15" i="53"/>
  <c r="H16" i="53"/>
  <c r="H17" i="53"/>
  <c r="H40" i="53"/>
  <c r="H21" i="53"/>
  <c r="H24" i="53"/>
  <c r="H26" i="53"/>
  <c r="H31" i="53"/>
  <c r="H32" i="53"/>
  <c r="H44" i="53"/>
  <c r="H34" i="53"/>
  <c r="H35" i="53"/>
  <c r="H37" i="53"/>
  <c r="H25" i="53"/>
  <c r="H43" i="53"/>
  <c r="H54" i="53"/>
  <c r="H46" i="53"/>
  <c r="H20" i="53"/>
  <c r="H38" i="53"/>
  <c r="H48" i="53"/>
  <c r="H49" i="53"/>
  <c r="H50" i="53"/>
  <c r="H51" i="53"/>
  <c r="H56" i="53"/>
  <c r="H47" i="53"/>
  <c r="H14" i="53"/>
  <c r="H33" i="53"/>
  <c r="H41" i="53"/>
  <c r="H42" i="53"/>
  <c r="H19" i="53"/>
  <c r="H58" i="53"/>
  <c r="H22" i="53"/>
  <c r="H57" i="53"/>
  <c r="H28" i="53"/>
  <c r="H29" i="53"/>
  <c r="H30" i="53"/>
  <c r="H59" i="53"/>
  <c r="H61" i="53"/>
  <c r="H66" i="53"/>
  <c r="H67" i="53"/>
  <c r="H68" i="53"/>
  <c r="H69" i="53"/>
  <c r="H70" i="53"/>
  <c r="H71" i="53"/>
  <c r="H73" i="53"/>
  <c r="H80" i="53"/>
  <c r="H82" i="53"/>
  <c r="H85" i="53"/>
  <c r="H86" i="53"/>
  <c r="H87" i="53"/>
  <c r="H89" i="53"/>
  <c r="H91" i="53"/>
  <c r="H92" i="53"/>
  <c r="H94" i="53"/>
  <c r="H95" i="53"/>
  <c r="H96" i="53"/>
  <c r="H98" i="53"/>
  <c r="H100" i="53"/>
  <c r="H102" i="53"/>
  <c r="H83" i="53"/>
  <c r="G321" i="53"/>
  <c r="G352" i="53"/>
  <c r="G367" i="53"/>
  <c r="G379" i="53" s="1"/>
  <c r="G374" i="53"/>
  <c r="G243" i="53"/>
  <c r="G262" i="53"/>
  <c r="G277" i="53"/>
  <c r="G207" i="53"/>
  <c r="G217" i="53"/>
  <c r="G224" i="53"/>
  <c r="G150" i="53"/>
  <c r="G162" i="53"/>
  <c r="G184" i="53"/>
  <c r="G63" i="53"/>
  <c r="G74" i="53"/>
  <c r="G103" i="53"/>
  <c r="F284" i="53"/>
  <c r="F285" i="53"/>
  <c r="F286" i="53"/>
  <c r="F288" i="53"/>
  <c r="F292" i="53"/>
  <c r="F293" i="53"/>
  <c r="F294" i="53"/>
  <c r="F296" i="53"/>
  <c r="F297" i="53"/>
  <c r="F298" i="53"/>
  <c r="F302" i="53"/>
  <c r="F303" i="53"/>
  <c r="F304" i="53"/>
  <c r="F305" i="53"/>
  <c r="F306" i="53"/>
  <c r="F307" i="53"/>
  <c r="F308" i="53"/>
  <c r="F311" i="53"/>
  <c r="F312" i="53"/>
  <c r="F313" i="53"/>
  <c r="F314" i="53"/>
  <c r="F318" i="53"/>
  <c r="F325" i="53"/>
  <c r="F326" i="53"/>
  <c r="F327" i="53"/>
  <c r="F328" i="53"/>
  <c r="F329" i="53"/>
  <c r="F330" i="53"/>
  <c r="F332" i="53"/>
  <c r="F335" i="53"/>
  <c r="F336" i="53"/>
  <c r="F339" i="53"/>
  <c r="F340" i="53"/>
  <c r="F341" i="53"/>
  <c r="F342" i="53"/>
  <c r="F343" i="53"/>
  <c r="F344" i="53"/>
  <c r="F345" i="53"/>
  <c r="F346" i="53"/>
  <c r="F347" i="53"/>
  <c r="F351" i="53"/>
  <c r="F355" i="53"/>
  <c r="F356" i="53"/>
  <c r="F357" i="53"/>
  <c r="F372" i="53"/>
  <c r="F230" i="53"/>
  <c r="F232" i="53"/>
  <c r="F234" i="53"/>
  <c r="F238" i="53"/>
  <c r="F239" i="53"/>
  <c r="F253" i="53"/>
  <c r="F256" i="53"/>
  <c r="F267" i="53"/>
  <c r="F270" i="53"/>
  <c r="F272" i="53"/>
  <c r="F276" i="53"/>
  <c r="F191" i="53"/>
  <c r="F193" i="53"/>
  <c r="F195" i="53"/>
  <c r="F197" i="53"/>
  <c r="F201" i="53"/>
  <c r="F202" i="53"/>
  <c r="F204" i="53"/>
  <c r="F205" i="53"/>
  <c r="F206" i="53"/>
  <c r="F212" i="53"/>
  <c r="F213" i="53"/>
  <c r="F214" i="53"/>
  <c r="F215" i="53"/>
  <c r="F216" i="53"/>
  <c r="F222" i="53"/>
  <c r="F111" i="53"/>
  <c r="F112" i="53"/>
  <c r="F114" i="53"/>
  <c r="F115" i="53"/>
  <c r="F116" i="53"/>
  <c r="F119" i="53"/>
  <c r="F127" i="53"/>
  <c r="F129" i="53"/>
  <c r="F130" i="53"/>
  <c r="F132" i="53"/>
  <c r="F133" i="53"/>
  <c r="F134" i="53"/>
  <c r="F135" i="53"/>
  <c r="F138" i="53"/>
  <c r="F139" i="53"/>
  <c r="F141" i="53"/>
  <c r="F143" i="53"/>
  <c r="F145" i="53"/>
  <c r="F149" i="53"/>
  <c r="F153" i="53"/>
  <c r="F154" i="53"/>
  <c r="F155" i="53"/>
  <c r="F158" i="53"/>
  <c r="F161" i="53"/>
  <c r="F168" i="53"/>
  <c r="F170" i="53"/>
  <c r="F172" i="53"/>
  <c r="F178" i="53"/>
  <c r="F179" i="53"/>
  <c r="F182" i="53"/>
  <c r="F183" i="53"/>
  <c r="E321" i="53"/>
  <c r="E352" i="53"/>
  <c r="E367" i="53"/>
  <c r="E379" i="53" s="1"/>
  <c r="E374" i="53"/>
  <c r="E243" i="53"/>
  <c r="E262" i="53"/>
  <c r="E277" i="53"/>
  <c r="E207" i="53"/>
  <c r="E217" i="53"/>
  <c r="E224" i="53"/>
  <c r="E150" i="53"/>
  <c r="E162" i="53"/>
  <c r="E184" i="53"/>
  <c r="E63" i="53"/>
  <c r="E74" i="53"/>
  <c r="E103" i="53"/>
  <c r="D321" i="53"/>
  <c r="D352" i="53"/>
  <c r="D367" i="53"/>
  <c r="D374" i="53"/>
  <c r="D243" i="53"/>
  <c r="D262" i="53"/>
  <c r="D277" i="53"/>
  <c r="D207" i="53"/>
  <c r="D217" i="53"/>
  <c r="D224" i="53"/>
  <c r="D150" i="53"/>
  <c r="D162" i="53"/>
  <c r="D185" i="53" s="1"/>
  <c r="D184" i="53"/>
  <c r="D63" i="53"/>
  <c r="D74" i="53"/>
  <c r="D103" i="53"/>
  <c r="C321" i="53"/>
  <c r="C352" i="53"/>
  <c r="C367" i="53"/>
  <c r="C379" i="53" s="1"/>
  <c r="C374" i="53"/>
  <c r="C243" i="53"/>
  <c r="C262" i="53"/>
  <c r="C277" i="53"/>
  <c r="C207" i="53"/>
  <c r="C217" i="53"/>
  <c r="C224" i="53"/>
  <c r="C150" i="53"/>
  <c r="C162" i="53"/>
  <c r="C184" i="53"/>
  <c r="C63" i="53"/>
  <c r="C377" i="53" s="1"/>
  <c r="C74" i="53"/>
  <c r="C103" i="53"/>
  <c r="J380" i="53"/>
  <c r="G380" i="53"/>
  <c r="K379" i="53"/>
  <c r="D379" i="53"/>
  <c r="P377" i="53"/>
  <c r="O377" i="53"/>
  <c r="N377" i="53"/>
  <c r="M377" i="53"/>
  <c r="L377" i="53"/>
  <c r="K63" i="53"/>
  <c r="K377" i="53"/>
  <c r="J63" i="53"/>
  <c r="I77" i="53"/>
  <c r="F77" i="53" s="1"/>
  <c r="H77" i="53"/>
  <c r="I76" i="53"/>
  <c r="F76" i="53" s="1"/>
  <c r="H76" i="53"/>
  <c r="I75" i="53"/>
  <c r="F75" i="53" s="1"/>
  <c r="H75" i="53"/>
  <c r="I65" i="53"/>
  <c r="F65" i="53" s="1"/>
  <c r="H65" i="53"/>
  <c r="H174" i="52"/>
  <c r="H175" i="52"/>
  <c r="H176" i="52"/>
  <c r="H177" i="52"/>
  <c r="H178" i="52"/>
  <c r="H179" i="52"/>
  <c r="H180" i="52"/>
  <c r="H181" i="52"/>
  <c r="H182" i="52"/>
  <c r="E10" i="19"/>
  <c r="E11" i="19"/>
  <c r="H168" i="52"/>
  <c r="H205" i="52"/>
  <c r="H206" i="52"/>
  <c r="H207" i="52"/>
  <c r="H208" i="52"/>
  <c r="H209" i="52"/>
  <c r="H210" i="52"/>
  <c r="E13" i="19"/>
  <c r="E14" i="19"/>
  <c r="E15" i="19"/>
  <c r="E16" i="19"/>
  <c r="E17" i="19"/>
  <c r="H192" i="52"/>
  <c r="H193" i="52"/>
  <c r="H194" i="52"/>
  <c r="H195" i="52"/>
  <c r="E19" i="19"/>
  <c r="E20" i="19"/>
  <c r="E22" i="19"/>
  <c r="C21" i="17"/>
  <c r="G29" i="20"/>
  <c r="C23" i="17"/>
  <c r="K183" i="52"/>
  <c r="K201" i="52"/>
  <c r="K211" i="52"/>
  <c r="K163" i="52"/>
  <c r="K169" i="52"/>
  <c r="I25" i="52"/>
  <c r="F25" i="52" s="1"/>
  <c r="I40" i="52"/>
  <c r="F40" i="52" s="1"/>
  <c r="I14" i="52"/>
  <c r="F14" i="52" s="1"/>
  <c r="I12" i="52"/>
  <c r="I13" i="52"/>
  <c r="F13" i="52" s="1"/>
  <c r="I15" i="52"/>
  <c r="F15" i="52" s="1"/>
  <c r="I16" i="52"/>
  <c r="F16" i="52" s="1"/>
  <c r="I17" i="52"/>
  <c r="F17" i="52" s="1"/>
  <c r="I18" i="52"/>
  <c r="F18" i="52" s="1"/>
  <c r="I19" i="52"/>
  <c r="F19" i="52" s="1"/>
  <c r="I20" i="52"/>
  <c r="F20" i="52" s="1"/>
  <c r="I21" i="52"/>
  <c r="F21" i="52" s="1"/>
  <c r="I22" i="52"/>
  <c r="F22" i="52" s="1"/>
  <c r="I23" i="52"/>
  <c r="F23" i="52" s="1"/>
  <c r="I24" i="52"/>
  <c r="F24" i="52" s="1"/>
  <c r="I26" i="52"/>
  <c r="F26" i="52" s="1"/>
  <c r="I27" i="52"/>
  <c r="F27" i="52" s="1"/>
  <c r="I28" i="52"/>
  <c r="F28" i="52" s="1"/>
  <c r="I29" i="52"/>
  <c r="F29" i="52" s="1"/>
  <c r="I30" i="52"/>
  <c r="F30" i="52" s="1"/>
  <c r="I31" i="52"/>
  <c r="F31" i="52" s="1"/>
  <c r="I32" i="52"/>
  <c r="F32" i="52" s="1"/>
  <c r="I33" i="52"/>
  <c r="F33" i="52" s="1"/>
  <c r="I34" i="52"/>
  <c r="F34" i="52" s="1"/>
  <c r="I35" i="52"/>
  <c r="F35" i="52" s="1"/>
  <c r="I36" i="52"/>
  <c r="F36" i="52" s="1"/>
  <c r="I37" i="52"/>
  <c r="F37" i="52" s="1"/>
  <c r="I38" i="52"/>
  <c r="F38" i="52" s="1"/>
  <c r="I39" i="52"/>
  <c r="F39" i="52" s="1"/>
  <c r="I41" i="52"/>
  <c r="F41" i="52" s="1"/>
  <c r="I43" i="52"/>
  <c r="F43" i="52" s="1"/>
  <c r="F61" i="52"/>
  <c r="I62" i="52"/>
  <c r="I63" i="52"/>
  <c r="F63" i="52" s="1"/>
  <c r="I64" i="52"/>
  <c r="F64" i="52" s="1"/>
  <c r="I65" i="52"/>
  <c r="F65" i="52" s="1"/>
  <c r="I66" i="52"/>
  <c r="F66" i="52" s="1"/>
  <c r="I67" i="52"/>
  <c r="F67" i="52" s="1"/>
  <c r="I68" i="52"/>
  <c r="F68" i="52" s="1"/>
  <c r="I69" i="52"/>
  <c r="F69" i="52" s="1"/>
  <c r="I70" i="52"/>
  <c r="F70" i="52" s="1"/>
  <c r="I71" i="52"/>
  <c r="F71" i="52" s="1"/>
  <c r="I72" i="52"/>
  <c r="F72" i="52" s="1"/>
  <c r="I73" i="52"/>
  <c r="F73" i="52" s="1"/>
  <c r="I74" i="52"/>
  <c r="F74" i="52" s="1"/>
  <c r="I75" i="52"/>
  <c r="F75" i="52" s="1"/>
  <c r="N14" i="7"/>
  <c r="N15" i="7"/>
  <c r="N16" i="7"/>
  <c r="N18" i="7"/>
  <c r="N20" i="7"/>
  <c r="N21" i="7"/>
  <c r="N19" i="39"/>
  <c r="N20" i="39"/>
  <c r="N21" i="39"/>
  <c r="N22" i="39"/>
  <c r="N23" i="39"/>
  <c r="I174" i="52"/>
  <c r="F174" i="52" s="1"/>
  <c r="I175" i="52"/>
  <c r="F175" i="52" s="1"/>
  <c r="I176" i="52"/>
  <c r="I177" i="52"/>
  <c r="F177" i="52" s="1"/>
  <c r="I178" i="52"/>
  <c r="F178" i="52" s="1"/>
  <c r="I179" i="52"/>
  <c r="F179" i="52" s="1"/>
  <c r="I180" i="52"/>
  <c r="F180" i="52" s="1"/>
  <c r="I181" i="52"/>
  <c r="F181" i="52" s="1"/>
  <c r="I182" i="52"/>
  <c r="F182" i="52" s="1"/>
  <c r="I205" i="52"/>
  <c r="F205" i="52" s="1"/>
  <c r="I206" i="52"/>
  <c r="F206" i="52" s="1"/>
  <c r="I207" i="52"/>
  <c r="F207" i="52" s="1"/>
  <c r="I208" i="52"/>
  <c r="F208" i="52" s="1"/>
  <c r="I209" i="52"/>
  <c r="F209" i="52" s="1"/>
  <c r="I210" i="52"/>
  <c r="F210" i="52" s="1"/>
  <c r="I167" i="52"/>
  <c r="F167" i="52" s="1"/>
  <c r="I168" i="52"/>
  <c r="N15" i="40"/>
  <c r="N17" i="40"/>
  <c r="N18" i="40"/>
  <c r="N19" i="40"/>
  <c r="N20" i="40"/>
  <c r="N19" i="38"/>
  <c r="N20" i="38"/>
  <c r="N21" i="38"/>
  <c r="N22" i="38"/>
  <c r="C13" i="17"/>
  <c r="J183" i="52"/>
  <c r="J201" i="52"/>
  <c r="J211" i="52"/>
  <c r="J163" i="52"/>
  <c r="J169" i="52"/>
  <c r="D183" i="52"/>
  <c r="D105" i="52"/>
  <c r="E183" i="52"/>
  <c r="F176" i="52"/>
  <c r="G183" i="52"/>
  <c r="C183" i="52"/>
  <c r="C201" i="52"/>
  <c r="C211" i="52"/>
  <c r="D211" i="52"/>
  <c r="D169" i="52"/>
  <c r="D76" i="52"/>
  <c r="G169" i="52"/>
  <c r="G211" i="52"/>
  <c r="G76" i="52"/>
  <c r="E169" i="52"/>
  <c r="E211" i="52"/>
  <c r="E76" i="52"/>
  <c r="E56" i="52"/>
  <c r="E201" i="52"/>
  <c r="E163" i="52"/>
  <c r="D201" i="52"/>
  <c r="D163" i="52"/>
  <c r="D56" i="52"/>
  <c r="G201" i="52"/>
  <c r="G163" i="52"/>
  <c r="G56" i="52"/>
  <c r="F25" i="39"/>
  <c r="F20" i="41"/>
  <c r="L278" i="53" s="1"/>
  <c r="F22" i="40"/>
  <c r="L225" i="53" s="1"/>
  <c r="L185" i="53"/>
  <c r="F24" i="7"/>
  <c r="L78" i="52" s="1"/>
  <c r="G17" i="39"/>
  <c r="O17" i="39" s="1"/>
  <c r="G18" i="39"/>
  <c r="K18" i="39" s="1"/>
  <c r="G19" i="39"/>
  <c r="K19" i="39" s="1"/>
  <c r="G20" i="39"/>
  <c r="K20" i="39" s="1"/>
  <c r="O20" i="39" s="1"/>
  <c r="G21" i="39"/>
  <c r="O21" i="39" s="1"/>
  <c r="O23" i="39"/>
  <c r="G15" i="41"/>
  <c r="O15" i="41" s="1"/>
  <c r="G16" i="41"/>
  <c r="G17" i="41"/>
  <c r="O17" i="41" s="1"/>
  <c r="G18" i="41"/>
  <c r="K18" i="41" s="1"/>
  <c r="G15" i="40"/>
  <c r="O15" i="40" s="1"/>
  <c r="G16" i="40"/>
  <c r="K16" i="40" s="1"/>
  <c r="G17" i="40"/>
  <c r="O17" i="40" s="1"/>
  <c r="G18" i="40"/>
  <c r="O18" i="40" s="1"/>
  <c r="G19" i="40"/>
  <c r="O19" i="40" s="1"/>
  <c r="G20" i="40"/>
  <c r="G15" i="38"/>
  <c r="G16" i="38"/>
  <c r="G17" i="38"/>
  <c r="G18" i="38"/>
  <c r="O20" i="38"/>
  <c r="O21" i="38"/>
  <c r="O22" i="38"/>
  <c r="O23" i="38"/>
  <c r="O24" i="38"/>
  <c r="G14" i="7"/>
  <c r="K14" i="7" s="1"/>
  <c r="G15" i="7"/>
  <c r="K15" i="7" s="1"/>
  <c r="O15" i="7" s="1"/>
  <c r="G16" i="7"/>
  <c r="K16" i="7" s="1"/>
  <c r="G17" i="7"/>
  <c r="K17" i="7" s="1"/>
  <c r="G18" i="7"/>
  <c r="O18" i="7" s="1"/>
  <c r="G19" i="7"/>
  <c r="O20" i="7"/>
  <c r="G21" i="7"/>
  <c r="O21" i="7" s="1"/>
  <c r="G22" i="7"/>
  <c r="L15" i="39"/>
  <c r="H17" i="39"/>
  <c r="L17" i="39"/>
  <c r="H18" i="39"/>
  <c r="L18" i="39"/>
  <c r="H19" i="39"/>
  <c r="L19" i="39"/>
  <c r="H20" i="39"/>
  <c r="P20" i="39" s="1"/>
  <c r="M20" i="39" s="1"/>
  <c r="L20" i="39"/>
  <c r="H21" i="39"/>
  <c r="P21" i="39" s="1"/>
  <c r="L21" i="39"/>
  <c r="L22" i="39"/>
  <c r="P22" i="39" s="1"/>
  <c r="L23" i="39"/>
  <c r="P23" i="39" s="1"/>
  <c r="H15" i="41"/>
  <c r="L15" i="41"/>
  <c r="H16" i="41"/>
  <c r="L16" i="41"/>
  <c r="H17" i="41"/>
  <c r="L17" i="41"/>
  <c r="H18" i="41"/>
  <c r="L18" i="41"/>
  <c r="H15" i="40"/>
  <c r="L15" i="40"/>
  <c r="H16" i="40"/>
  <c r="P16" i="40" s="1"/>
  <c r="L16" i="40"/>
  <c r="H17" i="40"/>
  <c r="L17" i="40"/>
  <c r="H18" i="40"/>
  <c r="L18" i="40"/>
  <c r="H19" i="40"/>
  <c r="L19" i="40"/>
  <c r="H20" i="40"/>
  <c r="H15" i="38"/>
  <c r="L15" i="38"/>
  <c r="L18" i="38"/>
  <c r="P18" i="38" s="1"/>
  <c r="L19" i="38"/>
  <c r="P19" i="38" s="1"/>
  <c r="L20" i="38"/>
  <c r="P20" i="38" s="1"/>
  <c r="L21" i="38"/>
  <c r="P21" i="38" s="1"/>
  <c r="L22" i="38"/>
  <c r="P22" i="38" s="1"/>
  <c r="L23" i="38"/>
  <c r="P23" i="38" s="1"/>
  <c r="L24" i="38"/>
  <c r="P24" i="38" s="1"/>
  <c r="M24" i="38" s="1"/>
  <c r="H14" i="7"/>
  <c r="P14" i="7"/>
  <c r="H15" i="7"/>
  <c r="L15" i="7"/>
  <c r="H16" i="7"/>
  <c r="L16" i="7"/>
  <c r="H17" i="7"/>
  <c r="P17" i="7" s="1"/>
  <c r="L17" i="7"/>
  <c r="H18" i="7"/>
  <c r="L18" i="7"/>
  <c r="I18" i="7" s="1"/>
  <c r="H19" i="7"/>
  <c r="L20" i="7"/>
  <c r="P20" i="7" s="1"/>
  <c r="M20" i="7" s="1"/>
  <c r="H21" i="7"/>
  <c r="L21" i="7"/>
  <c r="H22" i="7"/>
  <c r="L22" i="7"/>
  <c r="L293" i="52"/>
  <c r="M293" i="52"/>
  <c r="N293" i="52"/>
  <c r="O293" i="52"/>
  <c r="P293" i="52"/>
  <c r="J290" i="51"/>
  <c r="J291" i="51"/>
  <c r="J292" i="51"/>
  <c r="J293" i="51"/>
  <c r="J294" i="51"/>
  <c r="F294" i="51" s="1"/>
  <c r="J298" i="51"/>
  <c r="J300" i="51"/>
  <c r="F300" i="51" s="1"/>
  <c r="J301" i="51"/>
  <c r="J329" i="51"/>
  <c r="J323" i="51"/>
  <c r="J112" i="51"/>
  <c r="J164" i="51"/>
  <c r="K307" i="51"/>
  <c r="K308" i="51"/>
  <c r="K126" i="51"/>
  <c r="K165" i="51" s="1"/>
  <c r="K164" i="51"/>
  <c r="I247" i="51"/>
  <c r="I248" i="51"/>
  <c r="F248" i="51" s="1"/>
  <c r="I249" i="51"/>
  <c r="I250" i="51"/>
  <c r="I251" i="51"/>
  <c r="I252" i="51"/>
  <c r="F252" i="51" s="1"/>
  <c r="I253" i="51"/>
  <c r="I254" i="51"/>
  <c r="F254" i="51" s="1"/>
  <c r="I255" i="51"/>
  <c r="F255" i="51" s="1"/>
  <c r="I256" i="51"/>
  <c r="I257" i="51"/>
  <c r="I258" i="51"/>
  <c r="I259" i="51"/>
  <c r="I260" i="51"/>
  <c r="F260" i="51" s="1"/>
  <c r="I261" i="51"/>
  <c r="I262" i="51"/>
  <c r="F262" i="51" s="1"/>
  <c r="I263" i="51"/>
  <c r="F263" i="51" s="1"/>
  <c r="I264" i="51"/>
  <c r="I265" i="51"/>
  <c r="I266" i="51"/>
  <c r="I267" i="51"/>
  <c r="I268" i="51"/>
  <c r="F268" i="51" s="1"/>
  <c r="I269" i="51"/>
  <c r="I270" i="51"/>
  <c r="F270" i="51" s="1"/>
  <c r="I271" i="51"/>
  <c r="F271" i="51" s="1"/>
  <c r="I272" i="51"/>
  <c r="I282" i="51"/>
  <c r="I283" i="51"/>
  <c r="I284" i="51"/>
  <c r="I285" i="51"/>
  <c r="I286" i="51"/>
  <c r="F286" i="51" s="1"/>
  <c r="I287" i="51"/>
  <c r="F287" i="51" s="1"/>
  <c r="I288" i="51"/>
  <c r="I289" i="51"/>
  <c r="I297" i="51"/>
  <c r="I299" i="51"/>
  <c r="I302" i="51"/>
  <c r="I303" i="51"/>
  <c r="F303" i="51" s="1"/>
  <c r="I304" i="51"/>
  <c r="F304" i="51" s="1"/>
  <c r="I305" i="51"/>
  <c r="I306" i="51"/>
  <c r="I327" i="51"/>
  <c r="I328" i="51"/>
  <c r="F328" i="51" s="1"/>
  <c r="C311" i="51"/>
  <c r="E311" i="51"/>
  <c r="I311" i="51"/>
  <c r="I312" i="51"/>
  <c r="I313" i="51"/>
  <c r="I204" i="51"/>
  <c r="I205" i="51"/>
  <c r="I206" i="51"/>
  <c r="I207" i="51"/>
  <c r="I208" i="51"/>
  <c r="I209" i="51"/>
  <c r="F209" i="51" s="1"/>
  <c r="I210" i="51"/>
  <c r="I220" i="51"/>
  <c r="I221" i="51"/>
  <c r="I222" i="51"/>
  <c r="I229" i="51"/>
  <c r="I233" i="51"/>
  <c r="I234" i="51"/>
  <c r="I235" i="51"/>
  <c r="I236" i="51"/>
  <c r="F236" i="51" s="1"/>
  <c r="I237" i="51"/>
  <c r="I238" i="51"/>
  <c r="F238" i="51" s="1"/>
  <c r="I96" i="51"/>
  <c r="I97" i="51"/>
  <c r="I98" i="51"/>
  <c r="I99" i="51"/>
  <c r="F99" i="51" s="1"/>
  <c r="I100" i="51"/>
  <c r="F100" i="51" s="1"/>
  <c r="I101" i="51"/>
  <c r="F101" i="51" s="1"/>
  <c r="I102" i="51"/>
  <c r="F102" i="51" s="1"/>
  <c r="I103" i="51"/>
  <c r="I104" i="51"/>
  <c r="I105" i="51"/>
  <c r="I106" i="51"/>
  <c r="I107" i="51"/>
  <c r="F107" i="51" s="1"/>
  <c r="I108" i="51"/>
  <c r="F108" i="51" s="1"/>
  <c r="I109" i="51"/>
  <c r="F109" i="51" s="1"/>
  <c r="I110" i="51"/>
  <c r="F110" i="51" s="1"/>
  <c r="I111" i="51"/>
  <c r="I113" i="51"/>
  <c r="I114" i="51"/>
  <c r="I115" i="51"/>
  <c r="I116" i="51"/>
  <c r="F116" i="51" s="1"/>
  <c r="I117" i="51"/>
  <c r="F117" i="51" s="1"/>
  <c r="I118" i="51"/>
  <c r="F118" i="51" s="1"/>
  <c r="I119" i="51"/>
  <c r="I124" i="51"/>
  <c r="I149" i="51"/>
  <c r="I150" i="51"/>
  <c r="I151" i="51"/>
  <c r="I152" i="51"/>
  <c r="I153" i="51"/>
  <c r="F153" i="51" s="1"/>
  <c r="I154" i="51"/>
  <c r="F154" i="51" s="1"/>
  <c r="I155" i="51"/>
  <c r="I156" i="51"/>
  <c r="I157" i="51"/>
  <c r="I158" i="51"/>
  <c r="I159" i="51"/>
  <c r="F159" i="51" s="1"/>
  <c r="I160" i="51"/>
  <c r="I161" i="51"/>
  <c r="F161" i="51" s="1"/>
  <c r="I162" i="51"/>
  <c r="F162" i="51" s="1"/>
  <c r="I163" i="51"/>
  <c r="C137" i="51"/>
  <c r="I137" i="51" s="1"/>
  <c r="F137" i="51" s="1"/>
  <c r="E137" i="51"/>
  <c r="I138" i="51"/>
  <c r="F138" i="51" s="1"/>
  <c r="I139" i="51"/>
  <c r="F139" i="51" s="1"/>
  <c r="E140" i="51"/>
  <c r="I141" i="51"/>
  <c r="F141" i="51" s="1"/>
  <c r="I142" i="51"/>
  <c r="I143" i="51"/>
  <c r="I145" i="51"/>
  <c r="I12" i="51"/>
  <c r="I13" i="51"/>
  <c r="F13" i="51" s="1"/>
  <c r="I14" i="51"/>
  <c r="F14" i="51" s="1"/>
  <c r="I15" i="51"/>
  <c r="F15" i="51" s="1"/>
  <c r="I16" i="51"/>
  <c r="I17" i="51"/>
  <c r="I18" i="51"/>
  <c r="I19" i="51"/>
  <c r="I20" i="51"/>
  <c r="I21" i="51"/>
  <c r="F21" i="51" s="1"/>
  <c r="I22" i="51"/>
  <c r="F22" i="51" s="1"/>
  <c r="I23" i="51"/>
  <c r="F23" i="51" s="1"/>
  <c r="I24" i="51"/>
  <c r="I25" i="51"/>
  <c r="I26" i="51"/>
  <c r="I27" i="51"/>
  <c r="I28" i="51"/>
  <c r="I29" i="51"/>
  <c r="I30" i="51"/>
  <c r="F30" i="51" s="1"/>
  <c r="I31" i="51"/>
  <c r="F31" i="51" s="1"/>
  <c r="I32" i="51"/>
  <c r="I33" i="51"/>
  <c r="I34" i="51"/>
  <c r="I35" i="51"/>
  <c r="I36" i="51"/>
  <c r="I37" i="51"/>
  <c r="F37" i="51" s="1"/>
  <c r="I38" i="51"/>
  <c r="F38" i="51" s="1"/>
  <c r="I39" i="51"/>
  <c r="F39" i="51" s="1"/>
  <c r="I40" i="51"/>
  <c r="I41" i="51"/>
  <c r="I42" i="51"/>
  <c r="I43" i="51"/>
  <c r="I44" i="51"/>
  <c r="I45" i="51"/>
  <c r="F45" i="51" s="1"/>
  <c r="I46" i="51"/>
  <c r="F46" i="51" s="1"/>
  <c r="I55" i="51"/>
  <c r="I56" i="51"/>
  <c r="I57" i="51"/>
  <c r="I58" i="51"/>
  <c r="I59" i="51"/>
  <c r="I60" i="51"/>
  <c r="F60" i="51" s="1"/>
  <c r="I61" i="51"/>
  <c r="F61" i="51" s="1"/>
  <c r="I62" i="51"/>
  <c r="F62" i="51" s="1"/>
  <c r="I68" i="51"/>
  <c r="C69" i="51"/>
  <c r="E69" i="51"/>
  <c r="I70" i="51"/>
  <c r="I71" i="51"/>
  <c r="F71" i="51" s="1"/>
  <c r="I72" i="51"/>
  <c r="I73" i="51"/>
  <c r="F73" i="51" s="1"/>
  <c r="I74" i="51"/>
  <c r="F74" i="51" s="1"/>
  <c r="I75" i="51"/>
  <c r="I76" i="51"/>
  <c r="I77" i="51"/>
  <c r="I78" i="51"/>
  <c r="I79" i="51"/>
  <c r="F79" i="51" s="1"/>
  <c r="I80" i="51"/>
  <c r="I81" i="51"/>
  <c r="F81" i="51" s="1"/>
  <c r="I82" i="51"/>
  <c r="F82" i="51" s="1"/>
  <c r="L240" i="51"/>
  <c r="L165" i="51"/>
  <c r="H247" i="51"/>
  <c r="H248" i="51"/>
  <c r="H249" i="51"/>
  <c r="H250" i="51"/>
  <c r="H251" i="51"/>
  <c r="H252" i="51"/>
  <c r="H253" i="51"/>
  <c r="H254" i="51"/>
  <c r="H255" i="51"/>
  <c r="H256" i="51"/>
  <c r="H257" i="51"/>
  <c r="H258" i="51"/>
  <c r="H259" i="51"/>
  <c r="H260" i="51"/>
  <c r="H261" i="51"/>
  <c r="H262" i="51"/>
  <c r="H263" i="51"/>
  <c r="H264" i="51"/>
  <c r="H265" i="51"/>
  <c r="H266" i="51"/>
  <c r="H267" i="51"/>
  <c r="H268" i="51"/>
  <c r="H269" i="51"/>
  <c r="H270" i="51"/>
  <c r="H271" i="51"/>
  <c r="H272" i="51"/>
  <c r="H282" i="51"/>
  <c r="H283" i="51"/>
  <c r="H284" i="51"/>
  <c r="H285" i="51"/>
  <c r="H286" i="51"/>
  <c r="H287" i="51"/>
  <c r="H288" i="51"/>
  <c r="H289" i="51"/>
  <c r="H290" i="51"/>
  <c r="H291" i="51"/>
  <c r="H292" i="51"/>
  <c r="H293" i="51"/>
  <c r="H294" i="51"/>
  <c r="H297" i="51"/>
  <c r="H298" i="51"/>
  <c r="H299" i="51"/>
  <c r="H300" i="51"/>
  <c r="H301" i="51"/>
  <c r="H302" i="51"/>
  <c r="H303" i="51"/>
  <c r="H304" i="51"/>
  <c r="H305" i="51"/>
  <c r="H306" i="51"/>
  <c r="H307" i="51"/>
  <c r="H327" i="51"/>
  <c r="H328" i="51"/>
  <c r="D311" i="51"/>
  <c r="H312" i="51"/>
  <c r="H313" i="51"/>
  <c r="H204" i="51"/>
  <c r="H205" i="51"/>
  <c r="H206" i="51"/>
  <c r="H207" i="51"/>
  <c r="H208" i="51"/>
  <c r="H209" i="51"/>
  <c r="H210" i="51"/>
  <c r="H220" i="51"/>
  <c r="H221" i="51"/>
  <c r="H222" i="51"/>
  <c r="H229" i="51"/>
  <c r="H233" i="51"/>
  <c r="H234" i="51"/>
  <c r="H235" i="51"/>
  <c r="H236" i="51"/>
  <c r="H237" i="51"/>
  <c r="H238" i="51"/>
  <c r="H96" i="51"/>
  <c r="H97" i="51"/>
  <c r="H98" i="51"/>
  <c r="H99" i="51"/>
  <c r="H100" i="51"/>
  <c r="H101" i="51"/>
  <c r="H102" i="51"/>
  <c r="H103" i="51"/>
  <c r="H104" i="51"/>
  <c r="H105" i="51"/>
  <c r="H106" i="51"/>
  <c r="H107" i="51"/>
  <c r="H108" i="51"/>
  <c r="H109" i="51"/>
  <c r="H110" i="51"/>
  <c r="H111" i="51"/>
  <c r="H112" i="51"/>
  <c r="H113" i="51"/>
  <c r="H114" i="51"/>
  <c r="H115" i="51"/>
  <c r="H116" i="51"/>
  <c r="H117" i="51"/>
  <c r="H118" i="51"/>
  <c r="H119" i="51"/>
  <c r="H124" i="51"/>
  <c r="H149" i="51"/>
  <c r="H150" i="51"/>
  <c r="H151" i="51"/>
  <c r="H152" i="51"/>
  <c r="H153" i="51"/>
  <c r="H154" i="51"/>
  <c r="H155" i="51"/>
  <c r="H156" i="51"/>
  <c r="H157" i="51"/>
  <c r="H158" i="51"/>
  <c r="H159" i="51"/>
  <c r="H160" i="51"/>
  <c r="H161" i="51"/>
  <c r="H162" i="51"/>
  <c r="H163" i="51"/>
  <c r="D137" i="51"/>
  <c r="H137" i="51" s="1"/>
  <c r="H138" i="51"/>
  <c r="H139" i="51"/>
  <c r="H141" i="51"/>
  <c r="H142" i="51"/>
  <c r="H143" i="51"/>
  <c r="H145" i="51"/>
  <c r="H12" i="51"/>
  <c r="H13" i="51"/>
  <c r="H14" i="51"/>
  <c r="H15" i="51"/>
  <c r="H16" i="51"/>
  <c r="H17" i="51"/>
  <c r="H18" i="51"/>
  <c r="H19" i="51"/>
  <c r="H20" i="51"/>
  <c r="H21" i="51"/>
  <c r="H22" i="51"/>
  <c r="H23" i="51"/>
  <c r="H24" i="51"/>
  <c r="H25" i="51"/>
  <c r="H26" i="51"/>
  <c r="H27" i="51"/>
  <c r="H28" i="51"/>
  <c r="H29" i="51"/>
  <c r="H30" i="51"/>
  <c r="H31" i="51"/>
  <c r="H32" i="51"/>
  <c r="H33" i="51"/>
  <c r="H34" i="51"/>
  <c r="H35" i="51"/>
  <c r="H36" i="51"/>
  <c r="H37" i="51"/>
  <c r="H38" i="51"/>
  <c r="H39" i="51"/>
  <c r="H40" i="51"/>
  <c r="H41" i="51"/>
  <c r="H42" i="51"/>
  <c r="H43" i="51"/>
  <c r="H44" i="51"/>
  <c r="H46" i="51"/>
  <c r="H55" i="51"/>
  <c r="H56" i="51"/>
  <c r="H57" i="51"/>
  <c r="H58" i="51"/>
  <c r="H59" i="51"/>
  <c r="H60" i="51"/>
  <c r="H62" i="51"/>
  <c r="H68" i="51"/>
  <c r="D69" i="51"/>
  <c r="H69" i="51" s="1"/>
  <c r="H70" i="51"/>
  <c r="H71" i="51"/>
  <c r="H72" i="51"/>
  <c r="H73" i="51"/>
  <c r="H74" i="51"/>
  <c r="H75" i="51"/>
  <c r="H76" i="51"/>
  <c r="H77" i="51"/>
  <c r="H78" i="51"/>
  <c r="H79" i="51"/>
  <c r="H80" i="51"/>
  <c r="H81" i="51"/>
  <c r="H82" i="51"/>
  <c r="G273" i="51"/>
  <c r="G295" i="51"/>
  <c r="G308" i="51"/>
  <c r="G329" i="51"/>
  <c r="G323" i="51"/>
  <c r="G211" i="51"/>
  <c r="G223" i="51"/>
  <c r="G229" i="51"/>
  <c r="G239" i="51"/>
  <c r="G126" i="51"/>
  <c r="G164" i="51"/>
  <c r="G146" i="51"/>
  <c r="G48" i="51"/>
  <c r="G85" i="51" s="1"/>
  <c r="G63" i="51"/>
  <c r="G83" i="51"/>
  <c r="F249" i="51"/>
  <c r="F250" i="51"/>
  <c r="F251" i="51"/>
  <c r="F253" i="51"/>
  <c r="F256" i="51"/>
  <c r="F257" i="51"/>
  <c r="F258" i="51"/>
  <c r="F259" i="51"/>
  <c r="F261" i="51"/>
  <c r="F264" i="51"/>
  <c r="F265" i="51"/>
  <c r="F266" i="51"/>
  <c r="F267" i="51"/>
  <c r="F269" i="51"/>
  <c r="F272" i="51"/>
  <c r="F282" i="51"/>
  <c r="F283" i="51"/>
  <c r="F284" i="51"/>
  <c r="F288" i="51"/>
  <c r="F289" i="51"/>
  <c r="F290" i="51"/>
  <c r="F291" i="51"/>
  <c r="F292" i="51"/>
  <c r="F297" i="51"/>
  <c r="F298" i="51"/>
  <c r="F299" i="51"/>
  <c r="F301" i="51"/>
  <c r="F305" i="51"/>
  <c r="F306" i="51"/>
  <c r="F307" i="51"/>
  <c r="F327" i="51"/>
  <c r="F312" i="51"/>
  <c r="F313" i="51"/>
  <c r="F317" i="51"/>
  <c r="F318" i="51"/>
  <c r="F321" i="51"/>
  <c r="F322" i="51"/>
  <c r="F204" i="51"/>
  <c r="F205" i="51"/>
  <c r="F207" i="51"/>
  <c r="F208" i="51"/>
  <c r="F210" i="51"/>
  <c r="F220" i="51"/>
  <c r="F221" i="51"/>
  <c r="F229" i="51"/>
  <c r="F233" i="51"/>
  <c r="F234" i="51"/>
  <c r="F235" i="51"/>
  <c r="F237" i="51"/>
  <c r="F97" i="51"/>
  <c r="F98" i="51"/>
  <c r="F103" i="51"/>
  <c r="F104" i="51"/>
  <c r="F105" i="51"/>
  <c r="F106" i="51"/>
  <c r="F111" i="51"/>
  <c r="F113" i="51"/>
  <c r="F114" i="51"/>
  <c r="F115" i="51"/>
  <c r="F119" i="51"/>
  <c r="F124" i="51"/>
  <c r="F149" i="51"/>
  <c r="F150" i="51"/>
  <c r="F152" i="51"/>
  <c r="F155" i="51"/>
  <c r="F156" i="51"/>
  <c r="F157" i="51"/>
  <c r="F158" i="51"/>
  <c r="F160" i="51"/>
  <c r="F163" i="51"/>
  <c r="F142" i="51"/>
  <c r="F143" i="51"/>
  <c r="F145" i="51"/>
  <c r="F12" i="51"/>
  <c r="F16" i="51"/>
  <c r="F17" i="51"/>
  <c r="F18" i="51"/>
  <c r="F19" i="51"/>
  <c r="F20" i="51"/>
  <c r="F24" i="51"/>
  <c r="F25" i="51"/>
  <c r="F26" i="51"/>
  <c r="F27" i="51"/>
  <c r="F28" i="51"/>
  <c r="F29" i="51"/>
  <c r="F32" i="51"/>
  <c r="F33" i="51"/>
  <c r="F34" i="51"/>
  <c r="F35" i="51"/>
  <c r="F36" i="51"/>
  <c r="F40" i="51"/>
  <c r="F41" i="51"/>
  <c r="F42" i="51"/>
  <c r="F43" i="51"/>
  <c r="F44" i="51"/>
  <c r="F56" i="51"/>
  <c r="F57" i="51"/>
  <c r="F58" i="51"/>
  <c r="F59" i="51"/>
  <c r="F68" i="51"/>
  <c r="F70" i="51"/>
  <c r="F72" i="51"/>
  <c r="F75" i="51"/>
  <c r="F76" i="51"/>
  <c r="F77" i="51"/>
  <c r="F78" i="51"/>
  <c r="F80" i="51"/>
  <c r="E164" i="51"/>
  <c r="E165" i="51" s="1"/>
  <c r="E341" i="51" s="1"/>
  <c r="D164" i="51"/>
  <c r="D339" i="51" s="1"/>
  <c r="C164" i="51"/>
  <c r="P339" i="51"/>
  <c r="O339" i="51"/>
  <c r="N339" i="51"/>
  <c r="M339" i="51"/>
  <c r="L339" i="51"/>
  <c r="K339" i="51"/>
  <c r="E339" i="51"/>
  <c r="P338" i="51"/>
  <c r="O338" i="51"/>
  <c r="N338" i="51"/>
  <c r="M338" i="51"/>
  <c r="L338" i="51"/>
  <c r="K338" i="51"/>
  <c r="J338" i="51"/>
  <c r="G338" i="51"/>
  <c r="E338" i="51"/>
  <c r="D338" i="51"/>
  <c r="C338" i="51"/>
  <c r="P337" i="51"/>
  <c r="O337" i="51"/>
  <c r="N337" i="51"/>
  <c r="M337" i="51"/>
  <c r="L337" i="51"/>
  <c r="I188" i="51"/>
  <c r="F188" i="51" s="1"/>
  <c r="I189" i="51"/>
  <c r="F189" i="51" s="1"/>
  <c r="I190" i="51"/>
  <c r="I191" i="51"/>
  <c r="F191" i="51" s="1"/>
  <c r="C192" i="51"/>
  <c r="E192" i="51"/>
  <c r="I193" i="51"/>
  <c r="F193" i="51" s="1"/>
  <c r="I194" i="51"/>
  <c r="F194" i="51" s="1"/>
  <c r="H188" i="51"/>
  <c r="H189" i="51"/>
  <c r="H190" i="51"/>
  <c r="H191" i="51"/>
  <c r="D192" i="51"/>
  <c r="H193" i="51"/>
  <c r="H194" i="51"/>
  <c r="G195" i="51"/>
  <c r="E295" i="51"/>
  <c r="D295" i="51"/>
  <c r="D337" i="51" s="1"/>
  <c r="C295" i="51"/>
  <c r="K336" i="51"/>
  <c r="I171" i="51"/>
  <c r="F171" i="51" s="1"/>
  <c r="I172" i="51"/>
  <c r="F172" i="51" s="1"/>
  <c r="I173" i="51"/>
  <c r="I174" i="51"/>
  <c r="F174" i="51" s="1"/>
  <c r="I175" i="51"/>
  <c r="F175" i="51" s="1"/>
  <c r="I176" i="51"/>
  <c r="F176" i="51" s="1"/>
  <c r="I177" i="51"/>
  <c r="F177" i="51" s="1"/>
  <c r="I178" i="51"/>
  <c r="F178" i="51" s="1"/>
  <c r="I179" i="51"/>
  <c r="F179" i="51" s="1"/>
  <c r="I180" i="51"/>
  <c r="F180" i="51" s="1"/>
  <c r="I181" i="51"/>
  <c r="F181" i="51" s="1"/>
  <c r="C182" i="51"/>
  <c r="E182" i="51"/>
  <c r="I183" i="51"/>
  <c r="F183" i="51" s="1"/>
  <c r="I184" i="51"/>
  <c r="F184" i="51" s="1"/>
  <c r="H171" i="51"/>
  <c r="H172" i="51"/>
  <c r="H173" i="51"/>
  <c r="H174" i="51"/>
  <c r="H175" i="51"/>
  <c r="H176" i="51"/>
  <c r="H177" i="51"/>
  <c r="H178" i="51"/>
  <c r="H179" i="51"/>
  <c r="H180" i="51"/>
  <c r="H181" i="51"/>
  <c r="D182" i="51"/>
  <c r="H183" i="51"/>
  <c r="H184" i="51"/>
  <c r="G185" i="51"/>
  <c r="G336" i="51" s="1"/>
  <c r="F173" i="51"/>
  <c r="E273" i="51"/>
  <c r="E336" i="51" s="1"/>
  <c r="D273" i="51"/>
  <c r="D336" i="51" s="1"/>
  <c r="C273" i="51"/>
  <c r="C336" i="51" s="1"/>
  <c r="E333" i="51"/>
  <c r="E326" i="51"/>
  <c r="D333" i="51"/>
  <c r="D326" i="51"/>
  <c r="C333" i="51"/>
  <c r="C326" i="51"/>
  <c r="E212" i="51"/>
  <c r="E225" i="51"/>
  <c r="E231" i="51"/>
  <c r="E241" i="51"/>
  <c r="D212" i="51"/>
  <c r="D225" i="51"/>
  <c r="D231" i="51"/>
  <c r="D241" i="51"/>
  <c r="C212" i="51"/>
  <c r="C225" i="51"/>
  <c r="C242" i="51" s="1"/>
  <c r="C231" i="51"/>
  <c r="C241" i="51"/>
  <c r="C198" i="51"/>
  <c r="E198" i="51"/>
  <c r="D198" i="51"/>
  <c r="E120" i="51"/>
  <c r="D120" i="51"/>
  <c r="C120" i="51"/>
  <c r="E54" i="51"/>
  <c r="E89" i="51"/>
  <c r="D54" i="51"/>
  <c r="D89" i="51"/>
  <c r="C54" i="51"/>
  <c r="C89" i="51"/>
  <c r="J290" i="50"/>
  <c r="F290" i="50" s="1"/>
  <c r="J291" i="50"/>
  <c r="J292" i="50"/>
  <c r="J293" i="50"/>
  <c r="F293" i="50" s="1"/>
  <c r="J294" i="50"/>
  <c r="F294" i="50" s="1"/>
  <c r="J298" i="50"/>
  <c r="J300" i="50"/>
  <c r="J301" i="50"/>
  <c r="J329" i="50"/>
  <c r="J339" i="50" s="1"/>
  <c r="J323" i="50"/>
  <c r="J112" i="50"/>
  <c r="J126" i="50" s="1"/>
  <c r="J164" i="50"/>
  <c r="K307" i="50"/>
  <c r="K126" i="50"/>
  <c r="K165" i="50" s="1"/>
  <c r="K164" i="50"/>
  <c r="I247" i="50"/>
  <c r="F247" i="50" s="1"/>
  <c r="I248" i="50"/>
  <c r="F248" i="50" s="1"/>
  <c r="I249" i="50"/>
  <c r="I250" i="50"/>
  <c r="I251" i="50"/>
  <c r="I252" i="50"/>
  <c r="I253" i="50"/>
  <c r="I254" i="50"/>
  <c r="F254" i="50" s="1"/>
  <c r="I255" i="50"/>
  <c r="F255" i="50" s="1"/>
  <c r="I256" i="50"/>
  <c r="F256" i="50" s="1"/>
  <c r="I257" i="50"/>
  <c r="F257" i="50" s="1"/>
  <c r="I258" i="50"/>
  <c r="I259" i="50"/>
  <c r="I260" i="50"/>
  <c r="I261" i="50"/>
  <c r="I262" i="50"/>
  <c r="F262" i="50" s="1"/>
  <c r="I263" i="50"/>
  <c r="F263" i="50" s="1"/>
  <c r="I264" i="50"/>
  <c r="F264" i="50" s="1"/>
  <c r="I265" i="50"/>
  <c r="I266" i="50"/>
  <c r="I267" i="50"/>
  <c r="I268" i="50"/>
  <c r="F268" i="50" s="1"/>
  <c r="I269" i="50"/>
  <c r="I270" i="50"/>
  <c r="F270" i="50" s="1"/>
  <c r="I271" i="50"/>
  <c r="F271" i="50" s="1"/>
  <c r="I272" i="50"/>
  <c r="F272" i="50" s="1"/>
  <c r="I282" i="50"/>
  <c r="I283" i="50"/>
  <c r="I284" i="50"/>
  <c r="I285" i="50"/>
  <c r="F285" i="50" s="1"/>
  <c r="I286" i="50"/>
  <c r="I287" i="50"/>
  <c r="F287" i="50" s="1"/>
  <c r="I288" i="50"/>
  <c r="F288" i="50" s="1"/>
  <c r="I289" i="50"/>
  <c r="F289" i="50" s="1"/>
  <c r="I297" i="50"/>
  <c r="I299" i="50"/>
  <c r="I302" i="50"/>
  <c r="I303" i="50"/>
  <c r="I304" i="50"/>
  <c r="F304" i="50" s="1"/>
  <c r="I305" i="50"/>
  <c r="F305" i="50" s="1"/>
  <c r="I306" i="50"/>
  <c r="F306" i="50" s="1"/>
  <c r="I327" i="50"/>
  <c r="I329" i="50" s="1"/>
  <c r="I328" i="50"/>
  <c r="F328" i="50" s="1"/>
  <c r="C311" i="50"/>
  <c r="E311" i="50"/>
  <c r="I311" i="50" s="1"/>
  <c r="I312" i="50"/>
  <c r="F312" i="50" s="1"/>
  <c r="I313" i="50"/>
  <c r="F313" i="50" s="1"/>
  <c r="I204" i="50"/>
  <c r="I205" i="50"/>
  <c r="I206" i="50"/>
  <c r="F206" i="50" s="1"/>
  <c r="I207" i="50"/>
  <c r="I208" i="50"/>
  <c r="F208" i="50" s="1"/>
  <c r="I209" i="50"/>
  <c r="F209" i="50" s="1"/>
  <c r="F211" i="50" s="1"/>
  <c r="I210" i="50"/>
  <c r="F210" i="50" s="1"/>
  <c r="I220" i="50"/>
  <c r="F220" i="50" s="1"/>
  <c r="I221" i="50"/>
  <c r="I222" i="50"/>
  <c r="F222" i="50" s="1"/>
  <c r="I229" i="50"/>
  <c r="I233" i="50"/>
  <c r="I234" i="50"/>
  <c r="I235" i="50"/>
  <c r="F235" i="50" s="1"/>
  <c r="I236" i="50"/>
  <c r="F236" i="50" s="1"/>
  <c r="I237" i="50"/>
  <c r="I238" i="50"/>
  <c r="I96" i="50"/>
  <c r="I97" i="50"/>
  <c r="I98" i="50"/>
  <c r="I99" i="50"/>
  <c r="F99" i="50" s="1"/>
  <c r="I100" i="50"/>
  <c r="I101" i="50"/>
  <c r="F101" i="50" s="1"/>
  <c r="I102" i="50"/>
  <c r="I103" i="50"/>
  <c r="I104" i="50"/>
  <c r="I105" i="50"/>
  <c r="I106" i="50"/>
  <c r="I107" i="50"/>
  <c r="I108" i="50"/>
  <c r="F108" i="50" s="1"/>
  <c r="I109" i="50"/>
  <c r="F109" i="50" s="1"/>
  <c r="I110" i="50"/>
  <c r="I111" i="50"/>
  <c r="I113" i="50"/>
  <c r="I114" i="50"/>
  <c r="I115" i="50"/>
  <c r="I116" i="50"/>
  <c r="F116" i="50" s="1"/>
  <c r="I117" i="50"/>
  <c r="I118" i="50"/>
  <c r="F118" i="50" s="1"/>
  <c r="I119" i="50"/>
  <c r="F119" i="50" s="1"/>
  <c r="I124" i="50"/>
  <c r="F124" i="50" s="1"/>
  <c r="I149" i="50"/>
  <c r="F149" i="50" s="1"/>
  <c r="F164" i="50" s="1"/>
  <c r="I150" i="50"/>
  <c r="I151" i="50"/>
  <c r="I152" i="50"/>
  <c r="I153" i="50"/>
  <c r="I154" i="50"/>
  <c r="F154" i="50" s="1"/>
  <c r="I155" i="50"/>
  <c r="F155" i="50" s="1"/>
  <c r="I156" i="50"/>
  <c r="I157" i="50"/>
  <c r="I158" i="50"/>
  <c r="I159" i="50"/>
  <c r="I160" i="50"/>
  <c r="I161" i="50"/>
  <c r="I162" i="50"/>
  <c r="F162" i="50" s="1"/>
  <c r="I163" i="50"/>
  <c r="F163" i="50" s="1"/>
  <c r="C137" i="50"/>
  <c r="E137" i="50"/>
  <c r="I138" i="50"/>
  <c r="I139" i="50"/>
  <c r="F139" i="50" s="1"/>
  <c r="I141" i="50"/>
  <c r="F141" i="50" s="1"/>
  <c r="I142" i="50"/>
  <c r="F142" i="50" s="1"/>
  <c r="I143" i="50"/>
  <c r="I145" i="50"/>
  <c r="I12" i="50"/>
  <c r="I13" i="50"/>
  <c r="I14" i="50"/>
  <c r="F14" i="50" s="1"/>
  <c r="I15" i="50"/>
  <c r="F15" i="50" s="1"/>
  <c r="I16" i="50"/>
  <c r="F16" i="50" s="1"/>
  <c r="I17" i="50"/>
  <c r="F17" i="50" s="1"/>
  <c r="I18" i="50"/>
  <c r="F18" i="50" s="1"/>
  <c r="I19" i="50"/>
  <c r="I20" i="50"/>
  <c r="I21" i="50"/>
  <c r="I22" i="50"/>
  <c r="F22" i="50" s="1"/>
  <c r="I23" i="50"/>
  <c r="F23" i="50" s="1"/>
  <c r="I24" i="50"/>
  <c r="F24" i="50" s="1"/>
  <c r="I25" i="50"/>
  <c r="I26" i="50"/>
  <c r="I27" i="50"/>
  <c r="I28" i="50"/>
  <c r="I29" i="50"/>
  <c r="F29" i="50" s="1"/>
  <c r="I30" i="50"/>
  <c r="F30" i="50" s="1"/>
  <c r="I31" i="50"/>
  <c r="F31" i="50" s="1"/>
  <c r="I32" i="50"/>
  <c r="F32" i="50" s="1"/>
  <c r="I33" i="50"/>
  <c r="F33" i="50" s="1"/>
  <c r="I34" i="50"/>
  <c r="I35" i="50"/>
  <c r="I36" i="50"/>
  <c r="I37" i="50"/>
  <c r="I38" i="50"/>
  <c r="F38" i="50" s="1"/>
  <c r="I39" i="50"/>
  <c r="F39" i="50" s="1"/>
  <c r="I40" i="50"/>
  <c r="F40" i="50" s="1"/>
  <c r="I41" i="50"/>
  <c r="F41" i="50" s="1"/>
  <c r="I42" i="50"/>
  <c r="I43" i="50"/>
  <c r="I44" i="50"/>
  <c r="I45" i="50"/>
  <c r="F45" i="50" s="1"/>
  <c r="I46" i="50"/>
  <c r="F46" i="50" s="1"/>
  <c r="I55" i="50"/>
  <c r="I56" i="50"/>
  <c r="F56" i="50" s="1"/>
  <c r="I57" i="50"/>
  <c r="I58" i="50"/>
  <c r="F58" i="50" s="1"/>
  <c r="I59" i="50"/>
  <c r="I60" i="50"/>
  <c r="I61" i="50"/>
  <c r="F61" i="50" s="1"/>
  <c r="I62" i="50"/>
  <c r="F62" i="50" s="1"/>
  <c r="I68" i="50"/>
  <c r="C69" i="50"/>
  <c r="I69" i="50" s="1"/>
  <c r="F69" i="50" s="1"/>
  <c r="E69" i="50"/>
  <c r="I70" i="50"/>
  <c r="I71" i="50"/>
  <c r="F71" i="50" s="1"/>
  <c r="I72" i="50"/>
  <c r="F72" i="50" s="1"/>
  <c r="I73" i="50"/>
  <c r="I74" i="50"/>
  <c r="I75" i="50"/>
  <c r="F75" i="50" s="1"/>
  <c r="I76" i="50"/>
  <c r="F76" i="50" s="1"/>
  <c r="I77" i="50"/>
  <c r="F77" i="50" s="1"/>
  <c r="I78" i="50"/>
  <c r="F78" i="50" s="1"/>
  <c r="I79" i="50"/>
  <c r="F79" i="50" s="1"/>
  <c r="I80" i="50"/>
  <c r="F80" i="50" s="1"/>
  <c r="I81" i="50"/>
  <c r="I82" i="50"/>
  <c r="L330" i="50"/>
  <c r="L240" i="50"/>
  <c r="L165" i="50"/>
  <c r="H247" i="50"/>
  <c r="H248" i="50"/>
  <c r="H249" i="50"/>
  <c r="H250" i="50"/>
  <c r="H251" i="50"/>
  <c r="H252" i="50"/>
  <c r="H253" i="50"/>
  <c r="H254" i="50"/>
  <c r="H255" i="50"/>
  <c r="H256" i="50"/>
  <c r="H257" i="50"/>
  <c r="H258" i="50"/>
  <c r="H259" i="50"/>
  <c r="H260" i="50"/>
  <c r="H261" i="50"/>
  <c r="H262" i="50"/>
  <c r="H263" i="50"/>
  <c r="H264" i="50"/>
  <c r="H265" i="50"/>
  <c r="H266" i="50"/>
  <c r="H267" i="50"/>
  <c r="H268" i="50"/>
  <c r="H269" i="50"/>
  <c r="H270" i="50"/>
  <c r="H271" i="50"/>
  <c r="H272" i="50"/>
  <c r="H282" i="50"/>
  <c r="H283" i="50"/>
  <c r="H284" i="50"/>
  <c r="H285" i="50"/>
  <c r="H286" i="50"/>
  <c r="H287" i="50"/>
  <c r="H288" i="50"/>
  <c r="H289" i="50"/>
  <c r="H290" i="50"/>
  <c r="H291" i="50"/>
  <c r="H292" i="50"/>
  <c r="H293" i="50"/>
  <c r="H294" i="50"/>
  <c r="H297" i="50"/>
  <c r="H298" i="50"/>
  <c r="H299" i="50"/>
  <c r="H300" i="50"/>
  <c r="H301" i="50"/>
  <c r="H302" i="50"/>
  <c r="H303" i="50"/>
  <c r="H304" i="50"/>
  <c r="H305" i="50"/>
  <c r="H306" i="50"/>
  <c r="H307" i="50"/>
  <c r="H327" i="50"/>
  <c r="H328" i="50"/>
  <c r="D311" i="50"/>
  <c r="H312" i="50"/>
  <c r="H313" i="50"/>
  <c r="H204" i="50"/>
  <c r="H205" i="50"/>
  <c r="H206" i="50"/>
  <c r="H207" i="50"/>
  <c r="H208" i="50"/>
  <c r="H209" i="50"/>
  <c r="H210" i="50"/>
  <c r="H220" i="50"/>
  <c r="H221" i="50"/>
  <c r="H222" i="50"/>
  <c r="H229" i="50"/>
  <c r="H233" i="50"/>
  <c r="H234" i="50"/>
  <c r="H235" i="50"/>
  <c r="H236" i="50"/>
  <c r="H237" i="50"/>
  <c r="H238" i="50"/>
  <c r="H96" i="50"/>
  <c r="H97" i="50"/>
  <c r="H98" i="50"/>
  <c r="H99" i="50"/>
  <c r="H100" i="50"/>
  <c r="H101" i="50"/>
  <c r="H102" i="50"/>
  <c r="H103" i="50"/>
  <c r="H104" i="50"/>
  <c r="H105" i="50"/>
  <c r="H106" i="50"/>
  <c r="H107" i="50"/>
  <c r="H108" i="50"/>
  <c r="H109" i="50"/>
  <c r="H110" i="50"/>
  <c r="H111" i="50"/>
  <c r="H112" i="50"/>
  <c r="H113" i="50"/>
  <c r="H114" i="50"/>
  <c r="H115" i="50"/>
  <c r="H116" i="50"/>
  <c r="H117" i="50"/>
  <c r="H118" i="50"/>
  <c r="H119" i="50"/>
  <c r="H124" i="50"/>
  <c r="H149" i="50"/>
  <c r="H150" i="50"/>
  <c r="H151" i="50"/>
  <c r="H152" i="50"/>
  <c r="H153" i="50"/>
  <c r="H154" i="50"/>
  <c r="H155" i="50"/>
  <c r="H156" i="50"/>
  <c r="H157" i="50"/>
  <c r="H158" i="50"/>
  <c r="H159" i="50"/>
  <c r="H160" i="50"/>
  <c r="H161" i="50"/>
  <c r="H162" i="50"/>
  <c r="H163" i="50"/>
  <c r="D137" i="50"/>
  <c r="H137" i="50" s="1"/>
  <c r="H138" i="50"/>
  <c r="H139" i="50"/>
  <c r="H141" i="50"/>
  <c r="H142" i="50"/>
  <c r="H143" i="50"/>
  <c r="H145" i="50"/>
  <c r="H12" i="50"/>
  <c r="H13" i="50"/>
  <c r="H14" i="50"/>
  <c r="H15" i="50"/>
  <c r="H16" i="50"/>
  <c r="H17" i="50"/>
  <c r="H18" i="50"/>
  <c r="H19" i="50"/>
  <c r="H20" i="50"/>
  <c r="H21" i="50"/>
  <c r="H22" i="50"/>
  <c r="H23" i="50"/>
  <c r="H24" i="50"/>
  <c r="H25" i="50"/>
  <c r="H26" i="50"/>
  <c r="H27" i="50"/>
  <c r="H28" i="50"/>
  <c r="H29" i="50"/>
  <c r="H30" i="50"/>
  <c r="H31" i="50"/>
  <c r="H32" i="50"/>
  <c r="H33" i="50"/>
  <c r="H34" i="50"/>
  <c r="H35" i="50"/>
  <c r="H36" i="50"/>
  <c r="H37" i="50"/>
  <c r="H38" i="50"/>
  <c r="H39" i="50"/>
  <c r="H40" i="50"/>
  <c r="H41" i="50"/>
  <c r="H42" i="50"/>
  <c r="H43" i="50"/>
  <c r="H44" i="50"/>
  <c r="H46" i="50"/>
  <c r="H55" i="50"/>
  <c r="H56" i="50"/>
  <c r="H57" i="50"/>
  <c r="H58" i="50"/>
  <c r="H59" i="50"/>
  <c r="H60" i="50"/>
  <c r="H62" i="50"/>
  <c r="H68" i="50"/>
  <c r="D69" i="50"/>
  <c r="H70" i="50"/>
  <c r="H71" i="50"/>
  <c r="H72" i="50"/>
  <c r="H73" i="50"/>
  <c r="H74" i="50"/>
  <c r="H75" i="50"/>
  <c r="H76" i="50"/>
  <c r="H77" i="50"/>
  <c r="H78" i="50"/>
  <c r="H79" i="50"/>
  <c r="H80" i="50"/>
  <c r="H81" i="50"/>
  <c r="H82" i="50"/>
  <c r="G273" i="50"/>
  <c r="G295" i="50"/>
  <c r="G308" i="50"/>
  <c r="G329" i="50"/>
  <c r="G323" i="50"/>
  <c r="G211" i="50"/>
  <c r="G223" i="50"/>
  <c r="G229" i="50"/>
  <c r="G239" i="50"/>
  <c r="G126" i="50"/>
  <c r="G165" i="50" s="1"/>
  <c r="G164" i="50"/>
  <c r="G146" i="50"/>
  <c r="G48" i="50"/>
  <c r="G63" i="50"/>
  <c r="G83" i="50"/>
  <c r="F249" i="50"/>
  <c r="F250" i="50"/>
  <c r="F251" i="50"/>
  <c r="F252" i="50"/>
  <c r="F253" i="50"/>
  <c r="F258" i="50"/>
  <c r="F259" i="50"/>
  <c r="F260" i="50"/>
  <c r="F261" i="50"/>
  <c r="F265" i="50"/>
  <c r="F266" i="50"/>
  <c r="F267" i="50"/>
  <c r="F269" i="50"/>
  <c r="F282" i="50"/>
  <c r="F283" i="50"/>
  <c r="F284" i="50"/>
  <c r="F286" i="50"/>
  <c r="F291" i="50"/>
  <c r="F292" i="50"/>
  <c r="F297" i="50"/>
  <c r="F298" i="50"/>
  <c r="F299" i="50"/>
  <c r="F300" i="50"/>
  <c r="F302" i="50"/>
  <c r="F303" i="50"/>
  <c r="F327" i="50"/>
  <c r="F317" i="50"/>
  <c r="F318" i="50"/>
  <c r="F321" i="50"/>
  <c r="F322" i="50"/>
  <c r="F204" i="50"/>
  <c r="F205" i="50"/>
  <c r="F207" i="50"/>
  <c r="F229" i="50"/>
  <c r="F233" i="50"/>
  <c r="F234" i="50"/>
  <c r="F238" i="50"/>
  <c r="F96" i="50"/>
  <c r="F97" i="50"/>
  <c r="F98" i="50"/>
  <c r="F100" i="50"/>
  <c r="F102" i="50"/>
  <c r="F103" i="50"/>
  <c r="F104" i="50"/>
  <c r="F105" i="50"/>
  <c r="F106" i="50"/>
  <c r="F107" i="50"/>
  <c r="F110" i="50"/>
  <c r="F111" i="50"/>
  <c r="F112" i="50"/>
  <c r="F113" i="50"/>
  <c r="F114" i="50"/>
  <c r="F115" i="50"/>
  <c r="F117" i="50"/>
  <c r="F150" i="50"/>
  <c r="F151" i="50"/>
  <c r="F152" i="50"/>
  <c r="F153" i="50"/>
  <c r="F156" i="50"/>
  <c r="F157" i="50"/>
  <c r="F158" i="50"/>
  <c r="F159" i="50"/>
  <c r="F160" i="50"/>
  <c r="F161" i="50"/>
  <c r="F138" i="50"/>
  <c r="F143" i="50"/>
  <c r="F145" i="50"/>
  <c r="F12" i="50"/>
  <c r="F13" i="50"/>
  <c r="F19" i="50"/>
  <c r="F20" i="50"/>
  <c r="F21" i="50"/>
  <c r="F25" i="50"/>
  <c r="F26" i="50"/>
  <c r="F27" i="50"/>
  <c r="F28" i="50"/>
  <c r="F34" i="50"/>
  <c r="F35" i="50"/>
  <c r="F36" i="50"/>
  <c r="F37" i="50"/>
  <c r="F42" i="50"/>
  <c r="F43" i="50"/>
  <c r="F44" i="50"/>
  <c r="F57" i="50"/>
  <c r="F59" i="50"/>
  <c r="F60" i="50"/>
  <c r="F68" i="50"/>
  <c r="F70" i="50"/>
  <c r="F73" i="50"/>
  <c r="F74" i="50"/>
  <c r="F81" i="50"/>
  <c r="F82" i="50"/>
  <c r="E164" i="50"/>
  <c r="E165" i="50" s="1"/>
  <c r="E341" i="50"/>
  <c r="D164" i="50"/>
  <c r="D339" i="50" s="1"/>
  <c r="D165" i="50"/>
  <c r="D341" i="50" s="1"/>
  <c r="C164" i="50"/>
  <c r="C165" i="50" s="1"/>
  <c r="C341" i="50" s="1"/>
  <c r="P339" i="50"/>
  <c r="O339" i="50"/>
  <c r="N339" i="50"/>
  <c r="M339" i="50"/>
  <c r="L339" i="50"/>
  <c r="K339" i="50"/>
  <c r="E339" i="50"/>
  <c r="P338" i="50"/>
  <c r="O338" i="50"/>
  <c r="N338" i="50"/>
  <c r="M338" i="50"/>
  <c r="L338" i="50"/>
  <c r="K338" i="50"/>
  <c r="J338" i="50"/>
  <c r="E338" i="50"/>
  <c r="D338" i="50"/>
  <c r="C338" i="50"/>
  <c r="P337" i="50"/>
  <c r="O337" i="50"/>
  <c r="N337" i="50"/>
  <c r="M337" i="50"/>
  <c r="L337" i="50"/>
  <c r="I188" i="50"/>
  <c r="I189" i="50"/>
  <c r="F189" i="50" s="1"/>
  <c r="I190" i="50"/>
  <c r="F190" i="50" s="1"/>
  <c r="I191" i="50"/>
  <c r="C192" i="50"/>
  <c r="E192" i="50"/>
  <c r="I193" i="50"/>
  <c r="F193" i="50" s="1"/>
  <c r="I194" i="50"/>
  <c r="F194" i="50" s="1"/>
  <c r="H188" i="50"/>
  <c r="H189" i="50"/>
  <c r="H190" i="50"/>
  <c r="H191" i="50"/>
  <c r="D192" i="50"/>
  <c r="H193" i="50"/>
  <c r="H194" i="50"/>
  <c r="G195" i="50"/>
  <c r="F188" i="50"/>
  <c r="E295" i="50"/>
  <c r="E337" i="50"/>
  <c r="D295" i="50"/>
  <c r="D337" i="50" s="1"/>
  <c r="C295" i="50"/>
  <c r="C337" i="50" s="1"/>
  <c r="K336" i="50"/>
  <c r="I171" i="50"/>
  <c r="F171" i="50" s="1"/>
  <c r="I172" i="50"/>
  <c r="I173" i="50"/>
  <c r="I174" i="50"/>
  <c r="F174" i="50" s="1"/>
  <c r="I175" i="50"/>
  <c r="F175" i="50" s="1"/>
  <c r="I176" i="50"/>
  <c r="F176" i="50" s="1"/>
  <c r="I177" i="50"/>
  <c r="F177" i="50" s="1"/>
  <c r="I178" i="50"/>
  <c r="I179" i="50"/>
  <c r="F179" i="50" s="1"/>
  <c r="I180" i="50"/>
  <c r="F180" i="50" s="1"/>
  <c r="I181" i="50"/>
  <c r="F181" i="50" s="1"/>
  <c r="C182" i="50"/>
  <c r="E182" i="50"/>
  <c r="H182" i="50" s="1"/>
  <c r="I183" i="50"/>
  <c r="F183" i="50" s="1"/>
  <c r="I184" i="50"/>
  <c r="F184" i="50" s="1"/>
  <c r="H171" i="50"/>
  <c r="H172" i="50"/>
  <c r="H173" i="50"/>
  <c r="H174" i="50"/>
  <c r="H175" i="50"/>
  <c r="H176" i="50"/>
  <c r="H177" i="50"/>
  <c r="H178" i="50"/>
  <c r="H179" i="50"/>
  <c r="H180" i="50"/>
  <c r="H181" i="50"/>
  <c r="D182" i="50"/>
  <c r="H183" i="50"/>
  <c r="H184" i="50"/>
  <c r="G185" i="50"/>
  <c r="F172" i="50"/>
  <c r="F178" i="50"/>
  <c r="E273" i="50"/>
  <c r="E336" i="50"/>
  <c r="D273" i="50"/>
  <c r="C273" i="50"/>
  <c r="C336" i="50"/>
  <c r="E333" i="50"/>
  <c r="E326" i="50"/>
  <c r="D333" i="50"/>
  <c r="D326" i="50"/>
  <c r="C333" i="50"/>
  <c r="C326" i="50"/>
  <c r="E212" i="50"/>
  <c r="E225" i="50"/>
  <c r="E231" i="50"/>
  <c r="E241" i="50"/>
  <c r="D212" i="50"/>
  <c r="D225" i="50"/>
  <c r="D231" i="50"/>
  <c r="D241" i="50"/>
  <c r="C212" i="50"/>
  <c r="C225" i="50"/>
  <c r="C231" i="50"/>
  <c r="C241" i="50"/>
  <c r="C198" i="50"/>
  <c r="E198" i="50"/>
  <c r="D198" i="50"/>
  <c r="E120" i="50"/>
  <c r="D120" i="50"/>
  <c r="C120" i="50"/>
  <c r="E54" i="50"/>
  <c r="E89" i="50"/>
  <c r="D54" i="50"/>
  <c r="D91" i="50" s="1"/>
  <c r="D89" i="50"/>
  <c r="C54" i="50"/>
  <c r="C89" i="50"/>
  <c r="J290" i="49"/>
  <c r="F290" i="49" s="1"/>
  <c r="J291" i="49"/>
  <c r="J292" i="49"/>
  <c r="F292" i="49" s="1"/>
  <c r="J293" i="49"/>
  <c r="J294" i="49"/>
  <c r="J298" i="49"/>
  <c r="J300" i="49"/>
  <c r="J301" i="49"/>
  <c r="F301" i="49" s="1"/>
  <c r="J329" i="49"/>
  <c r="J323" i="49"/>
  <c r="J112" i="49"/>
  <c r="J126" i="49"/>
  <c r="J164" i="49"/>
  <c r="K307" i="49"/>
  <c r="K308" i="49" s="1"/>
  <c r="K126" i="49"/>
  <c r="K336" i="49" s="1"/>
  <c r="K164" i="49"/>
  <c r="I247" i="49"/>
  <c r="I248" i="49"/>
  <c r="I249" i="49"/>
  <c r="I250" i="49"/>
  <c r="F250" i="49" s="1"/>
  <c r="I251" i="49"/>
  <c r="F251" i="49" s="1"/>
  <c r="I252" i="49"/>
  <c r="F252" i="49" s="1"/>
  <c r="I253" i="49"/>
  <c r="I254" i="49"/>
  <c r="F254" i="49" s="1"/>
  <c r="I255" i="49"/>
  <c r="I256" i="49"/>
  <c r="I257" i="49"/>
  <c r="I258" i="49"/>
  <c r="F258" i="49" s="1"/>
  <c r="I259" i="49"/>
  <c r="F259" i="49" s="1"/>
  <c r="I260" i="49"/>
  <c r="F260" i="49" s="1"/>
  <c r="I261" i="49"/>
  <c r="F261" i="49" s="1"/>
  <c r="I262" i="49"/>
  <c r="I263" i="49"/>
  <c r="I264" i="49"/>
  <c r="I265" i="49"/>
  <c r="I266" i="49"/>
  <c r="F266" i="49" s="1"/>
  <c r="I267" i="49"/>
  <c r="F267" i="49" s="1"/>
  <c r="I268" i="49"/>
  <c r="F268" i="49" s="1"/>
  <c r="I269" i="49"/>
  <c r="F269" i="49" s="1"/>
  <c r="I270" i="49"/>
  <c r="F270" i="49" s="1"/>
  <c r="I271" i="49"/>
  <c r="I272" i="49"/>
  <c r="I282" i="49"/>
  <c r="F282" i="49" s="1"/>
  <c r="I283" i="49"/>
  <c r="F283" i="49" s="1"/>
  <c r="I284" i="49"/>
  <c r="I285" i="49"/>
  <c r="F285" i="49" s="1"/>
  <c r="I286" i="49"/>
  <c r="I287" i="49"/>
  <c r="I288" i="49"/>
  <c r="I289" i="49"/>
  <c r="F289" i="49" s="1"/>
  <c r="I297" i="49"/>
  <c r="I299" i="49"/>
  <c r="I302" i="49"/>
  <c r="I303" i="49"/>
  <c r="F303" i="49" s="1"/>
  <c r="I304" i="49"/>
  <c r="F304" i="49" s="1"/>
  <c r="I305" i="49"/>
  <c r="I306" i="49"/>
  <c r="I327" i="49"/>
  <c r="F327" i="49" s="1"/>
  <c r="F329" i="49" s="1"/>
  <c r="I328" i="49"/>
  <c r="I329" i="49" s="1"/>
  <c r="C311" i="49"/>
  <c r="I311" i="49" s="1"/>
  <c r="E311" i="49"/>
  <c r="I312" i="49"/>
  <c r="I313" i="49"/>
  <c r="I204" i="49"/>
  <c r="I205" i="49"/>
  <c r="I206" i="49"/>
  <c r="F206" i="49" s="1"/>
  <c r="I207" i="49"/>
  <c r="F207" i="49" s="1"/>
  <c r="I208" i="49"/>
  <c r="I209" i="49"/>
  <c r="I210" i="49"/>
  <c r="F210" i="49" s="1"/>
  <c r="I220" i="49"/>
  <c r="I221" i="49"/>
  <c r="F221" i="49" s="1"/>
  <c r="I222" i="49"/>
  <c r="I229" i="49"/>
  <c r="I233" i="49"/>
  <c r="I234" i="49"/>
  <c r="I235" i="49"/>
  <c r="F235" i="49" s="1"/>
  <c r="I236" i="49"/>
  <c r="F236" i="49" s="1"/>
  <c r="I237" i="49"/>
  <c r="F237" i="49" s="1"/>
  <c r="I238" i="49"/>
  <c r="I96" i="49"/>
  <c r="I97" i="49"/>
  <c r="I98" i="49"/>
  <c r="I99" i="49"/>
  <c r="F99" i="49" s="1"/>
  <c r="I100" i="49"/>
  <c r="F100" i="49" s="1"/>
  <c r="I101" i="49"/>
  <c r="F101" i="49" s="1"/>
  <c r="I102" i="49"/>
  <c r="I103" i="49"/>
  <c r="I104" i="49"/>
  <c r="I105" i="49"/>
  <c r="I106" i="49"/>
  <c r="F106" i="49" s="1"/>
  <c r="I107" i="49"/>
  <c r="F107" i="49" s="1"/>
  <c r="I108" i="49"/>
  <c r="F108" i="49" s="1"/>
  <c r="I109" i="49"/>
  <c r="F109" i="49" s="1"/>
  <c r="I110" i="49"/>
  <c r="I111" i="49"/>
  <c r="I113" i="49"/>
  <c r="I114" i="49"/>
  <c r="I115" i="49"/>
  <c r="I116" i="49"/>
  <c r="F116" i="49" s="1"/>
  <c r="I117" i="49"/>
  <c r="F117" i="49" s="1"/>
  <c r="I118" i="49"/>
  <c r="F118" i="49" s="1"/>
  <c r="I119" i="49"/>
  <c r="I124" i="49"/>
  <c r="F124" i="49" s="1"/>
  <c r="I149" i="49"/>
  <c r="F149" i="49" s="1"/>
  <c r="I150" i="49"/>
  <c r="I151" i="49"/>
  <c r="F151" i="49" s="1"/>
  <c r="I152" i="49"/>
  <c r="I153" i="49"/>
  <c r="I154" i="49"/>
  <c r="I155" i="49"/>
  <c r="F155" i="49"/>
  <c r="I156" i="49"/>
  <c r="I157" i="49"/>
  <c r="F157" i="49" s="1"/>
  <c r="I158" i="49"/>
  <c r="F158" i="49" s="1"/>
  <c r="I159" i="49"/>
  <c r="F159" i="49" s="1"/>
  <c r="I160" i="49"/>
  <c r="I161" i="49"/>
  <c r="I162" i="49"/>
  <c r="F162" i="49" s="1"/>
  <c r="I163" i="49"/>
  <c r="F163" i="49" s="1"/>
  <c r="C137" i="49"/>
  <c r="C140" i="49" s="1"/>
  <c r="E137" i="49"/>
  <c r="E140" i="49" s="1"/>
  <c r="I138" i="49"/>
  <c r="I139" i="49"/>
  <c r="F139" i="49" s="1"/>
  <c r="I141" i="49"/>
  <c r="F141" i="49" s="1"/>
  <c r="I142" i="49"/>
  <c r="F142" i="49" s="1"/>
  <c r="I143" i="49"/>
  <c r="F143" i="49" s="1"/>
  <c r="I145" i="49"/>
  <c r="F145" i="49" s="1"/>
  <c r="I12" i="49"/>
  <c r="I13" i="49"/>
  <c r="I14" i="49"/>
  <c r="I15" i="49"/>
  <c r="F15" i="49" s="1"/>
  <c r="I16" i="49"/>
  <c r="F16" i="49" s="1"/>
  <c r="I17" i="49"/>
  <c r="I18" i="49"/>
  <c r="I19" i="49"/>
  <c r="F19" i="49" s="1"/>
  <c r="I20" i="49"/>
  <c r="I21" i="49"/>
  <c r="F21" i="49" s="1"/>
  <c r="I22" i="49"/>
  <c r="I23" i="49"/>
  <c r="F23" i="49" s="1"/>
  <c r="I24" i="49"/>
  <c r="F24" i="49" s="1"/>
  <c r="I25" i="49"/>
  <c r="I26" i="49"/>
  <c r="F26" i="49" s="1"/>
  <c r="I27" i="49"/>
  <c r="I28" i="49"/>
  <c r="I29" i="49"/>
  <c r="I30" i="49"/>
  <c r="I31" i="49"/>
  <c r="F31" i="49" s="1"/>
  <c r="I32" i="49"/>
  <c r="F32" i="49" s="1"/>
  <c r="I33" i="49"/>
  <c r="I34" i="49"/>
  <c r="F34" i="49" s="1"/>
  <c r="I35" i="49"/>
  <c r="F35" i="49" s="1"/>
  <c r="I36" i="49"/>
  <c r="F36" i="49" s="1"/>
  <c r="I37" i="49"/>
  <c r="I38" i="49"/>
  <c r="I39" i="49"/>
  <c r="F39" i="49" s="1"/>
  <c r="I40" i="49"/>
  <c r="F40" i="49" s="1"/>
  <c r="I41" i="49"/>
  <c r="I42" i="49"/>
  <c r="F42" i="49" s="1"/>
  <c r="I43" i="49"/>
  <c r="F43" i="49" s="1"/>
  <c r="I44" i="49"/>
  <c r="I45" i="49"/>
  <c r="I46" i="49"/>
  <c r="I55" i="49"/>
  <c r="I56" i="49"/>
  <c r="F56" i="49" s="1"/>
  <c r="I57" i="49"/>
  <c r="I58" i="49"/>
  <c r="F58" i="49" s="1"/>
  <c r="I59" i="49"/>
  <c r="F59" i="49" s="1"/>
  <c r="I60" i="49"/>
  <c r="I61" i="49"/>
  <c r="F61" i="49" s="1"/>
  <c r="I62" i="49"/>
  <c r="F62" i="49" s="1"/>
  <c r="I68" i="49"/>
  <c r="F68" i="49" s="1"/>
  <c r="C69" i="49"/>
  <c r="I69" i="49" s="1"/>
  <c r="F69" i="49" s="1"/>
  <c r="E69" i="49"/>
  <c r="I70" i="49"/>
  <c r="F70" i="49" s="1"/>
  <c r="I71" i="49"/>
  <c r="F71" i="49" s="1"/>
  <c r="I72" i="49"/>
  <c r="F72" i="49" s="1"/>
  <c r="I73" i="49"/>
  <c r="F73" i="49" s="1"/>
  <c r="I74" i="49"/>
  <c r="I75" i="49"/>
  <c r="F75" i="49" s="1"/>
  <c r="I76" i="49"/>
  <c r="F76" i="49" s="1"/>
  <c r="I77" i="49"/>
  <c r="F77" i="49" s="1"/>
  <c r="I78" i="49"/>
  <c r="F78" i="49" s="1"/>
  <c r="I79" i="49"/>
  <c r="F79" i="49"/>
  <c r="I80" i="49"/>
  <c r="I81" i="49"/>
  <c r="I82" i="49"/>
  <c r="L330" i="49"/>
  <c r="L240" i="49"/>
  <c r="L165" i="49"/>
  <c r="H247" i="49"/>
  <c r="H248" i="49"/>
  <c r="H249" i="49"/>
  <c r="H250" i="49"/>
  <c r="H251" i="49"/>
  <c r="H252" i="49"/>
  <c r="H253" i="49"/>
  <c r="H254" i="49"/>
  <c r="H255" i="49"/>
  <c r="H256" i="49"/>
  <c r="H257" i="49"/>
  <c r="H258" i="49"/>
  <c r="H259" i="49"/>
  <c r="H260" i="49"/>
  <c r="H261" i="49"/>
  <c r="H262" i="49"/>
  <c r="H263" i="49"/>
  <c r="H264" i="49"/>
  <c r="H265" i="49"/>
  <c r="H266" i="49"/>
  <c r="H267" i="49"/>
  <c r="H268" i="49"/>
  <c r="H269" i="49"/>
  <c r="H270" i="49"/>
  <c r="H271" i="49"/>
  <c r="H272" i="49"/>
  <c r="H282" i="49"/>
  <c r="H283" i="49"/>
  <c r="H284" i="49"/>
  <c r="H285" i="49"/>
  <c r="H286" i="49"/>
  <c r="H287" i="49"/>
  <c r="H288" i="49"/>
  <c r="H289" i="49"/>
  <c r="H290" i="49"/>
  <c r="H291" i="49"/>
  <c r="H292" i="49"/>
  <c r="H293" i="49"/>
  <c r="H294" i="49"/>
  <c r="H297" i="49"/>
  <c r="H298" i="49"/>
  <c r="H299" i="49"/>
  <c r="H300" i="49"/>
  <c r="H301" i="49"/>
  <c r="H302" i="49"/>
  <c r="H303" i="49"/>
  <c r="H304" i="49"/>
  <c r="H305" i="49"/>
  <c r="H306" i="49"/>
  <c r="H307" i="49"/>
  <c r="H327" i="49"/>
  <c r="H329" i="49" s="1"/>
  <c r="H328" i="49"/>
  <c r="D311" i="49"/>
  <c r="H312" i="49"/>
  <c r="H313" i="49"/>
  <c r="H204" i="49"/>
  <c r="H205" i="49"/>
  <c r="H206" i="49"/>
  <c r="H207" i="49"/>
  <c r="H208" i="49"/>
  <c r="H209" i="49"/>
  <c r="H210" i="49"/>
  <c r="H220" i="49"/>
  <c r="H221" i="49"/>
  <c r="H222" i="49"/>
  <c r="H229" i="49"/>
  <c r="H233" i="49"/>
  <c r="H234" i="49"/>
  <c r="H235" i="49"/>
  <c r="H236" i="49"/>
  <c r="H237" i="49"/>
  <c r="H238" i="49"/>
  <c r="H96" i="49"/>
  <c r="H97" i="49"/>
  <c r="H98" i="49"/>
  <c r="H99" i="49"/>
  <c r="H100" i="49"/>
  <c r="H101" i="49"/>
  <c r="H102" i="49"/>
  <c r="H103" i="49"/>
  <c r="H104" i="49"/>
  <c r="H105" i="49"/>
  <c r="H106" i="49"/>
  <c r="H107" i="49"/>
  <c r="H108" i="49"/>
  <c r="H109" i="49"/>
  <c r="H110" i="49"/>
  <c r="H111" i="49"/>
  <c r="H112" i="49"/>
  <c r="H113" i="49"/>
  <c r="H114" i="49"/>
  <c r="H115" i="49"/>
  <c r="H116" i="49"/>
  <c r="H117" i="49"/>
  <c r="H118" i="49"/>
  <c r="H119" i="49"/>
  <c r="H124" i="49"/>
  <c r="H149" i="49"/>
  <c r="H150" i="49"/>
  <c r="H151" i="49"/>
  <c r="H152" i="49"/>
  <c r="H153" i="49"/>
  <c r="H154" i="49"/>
  <c r="H155" i="49"/>
  <c r="H156" i="49"/>
  <c r="H157" i="49"/>
  <c r="H158" i="49"/>
  <c r="H159" i="49"/>
  <c r="H160" i="49"/>
  <c r="H161" i="49"/>
  <c r="H162" i="49"/>
  <c r="H163" i="49"/>
  <c r="D137" i="49"/>
  <c r="D140" i="49" s="1"/>
  <c r="H138" i="49"/>
  <c r="H139" i="49"/>
  <c r="H141" i="49"/>
  <c r="H142" i="49"/>
  <c r="H143" i="49"/>
  <c r="H145" i="49"/>
  <c r="H12" i="49"/>
  <c r="H13" i="49"/>
  <c r="H14" i="49"/>
  <c r="H15" i="49"/>
  <c r="H16" i="49"/>
  <c r="H17" i="49"/>
  <c r="H18" i="49"/>
  <c r="H19" i="49"/>
  <c r="H20" i="49"/>
  <c r="H21" i="49"/>
  <c r="H22" i="49"/>
  <c r="H23" i="49"/>
  <c r="H24" i="49"/>
  <c r="H25" i="49"/>
  <c r="H26" i="49"/>
  <c r="H27" i="49"/>
  <c r="H28" i="49"/>
  <c r="H29" i="49"/>
  <c r="H30" i="49"/>
  <c r="H31" i="49"/>
  <c r="H32" i="49"/>
  <c r="H33" i="49"/>
  <c r="H34" i="49"/>
  <c r="H35" i="49"/>
  <c r="H36" i="49"/>
  <c r="H37" i="49"/>
  <c r="H38" i="49"/>
  <c r="H39" i="49"/>
  <c r="H40" i="49"/>
  <c r="H41" i="49"/>
  <c r="H42" i="49"/>
  <c r="H43" i="49"/>
  <c r="H44" i="49"/>
  <c r="H46" i="49"/>
  <c r="H55" i="49"/>
  <c r="H56" i="49"/>
  <c r="H57" i="49"/>
  <c r="H58" i="49"/>
  <c r="H59" i="49"/>
  <c r="H60" i="49"/>
  <c r="H62" i="49"/>
  <c r="H68" i="49"/>
  <c r="D69" i="49"/>
  <c r="H70" i="49"/>
  <c r="H71" i="49"/>
  <c r="H72" i="49"/>
  <c r="H73" i="49"/>
  <c r="H74" i="49"/>
  <c r="H75" i="49"/>
  <c r="H76" i="49"/>
  <c r="H77" i="49"/>
  <c r="H78" i="49"/>
  <c r="H79" i="49"/>
  <c r="H80" i="49"/>
  <c r="H81" i="49"/>
  <c r="H82" i="49"/>
  <c r="G273" i="49"/>
  <c r="G295" i="49"/>
  <c r="G308" i="49"/>
  <c r="G329" i="49"/>
  <c r="G323" i="49"/>
  <c r="G211" i="49"/>
  <c r="G223" i="49"/>
  <c r="G229" i="49"/>
  <c r="G239" i="49"/>
  <c r="G126" i="49"/>
  <c r="G164" i="49"/>
  <c r="G146" i="49"/>
  <c r="G48" i="49"/>
  <c r="G63" i="49"/>
  <c r="G83" i="49"/>
  <c r="F247" i="49"/>
  <c r="F248" i="49"/>
  <c r="F249" i="49"/>
  <c r="F253" i="49"/>
  <c r="F255" i="49"/>
  <c r="F256" i="49"/>
  <c r="F257" i="49"/>
  <c r="F262" i="49"/>
  <c r="F263" i="49"/>
  <c r="F264" i="49"/>
  <c r="F265" i="49"/>
  <c r="F271" i="49"/>
  <c r="F272" i="49"/>
  <c r="F284" i="49"/>
  <c r="F287" i="49"/>
  <c r="F288" i="49"/>
  <c r="F291" i="49"/>
  <c r="F293" i="49"/>
  <c r="F294" i="49"/>
  <c r="F297" i="49"/>
  <c r="F298" i="49"/>
  <c r="F299" i="49"/>
  <c r="F300" i="49"/>
  <c r="F305" i="49"/>
  <c r="F306" i="49"/>
  <c r="F307" i="49"/>
  <c r="F328" i="49"/>
  <c r="F312" i="49"/>
  <c r="F313" i="49"/>
  <c r="F317" i="49"/>
  <c r="F318" i="49"/>
  <c r="F321" i="49"/>
  <c r="F322" i="49"/>
  <c r="F204" i="49"/>
  <c r="F208" i="49"/>
  <c r="F209" i="49"/>
  <c r="F220" i="49"/>
  <c r="F222" i="49"/>
  <c r="F229" i="49"/>
  <c r="F233" i="49"/>
  <c r="F234" i="49"/>
  <c r="F238" i="49"/>
  <c r="F96" i="49"/>
  <c r="F97" i="49"/>
  <c r="F98" i="49"/>
  <c r="F102" i="49"/>
  <c r="F103" i="49"/>
  <c r="F104" i="49"/>
  <c r="F105" i="49"/>
  <c r="F110" i="49"/>
  <c r="F111" i="49"/>
  <c r="F112" i="49"/>
  <c r="F113" i="49"/>
  <c r="F114" i="49"/>
  <c r="F115" i="49"/>
  <c r="F119" i="49"/>
  <c r="F150" i="49"/>
  <c r="F152" i="49"/>
  <c r="F153" i="49"/>
  <c r="F154" i="49"/>
  <c r="F156" i="49"/>
  <c r="F160" i="49"/>
  <c r="F161" i="49"/>
  <c r="F138" i="49"/>
  <c r="F12" i="49"/>
  <c r="F13" i="49"/>
  <c r="F14" i="49"/>
  <c r="F17" i="49"/>
  <c r="F18" i="49"/>
  <c r="F20" i="49"/>
  <c r="F22" i="49"/>
  <c r="F25" i="49"/>
  <c r="F27" i="49"/>
  <c r="F28" i="49"/>
  <c r="F29" i="49"/>
  <c r="F30" i="49"/>
  <c r="F33" i="49"/>
  <c r="F37" i="49"/>
  <c r="F38" i="49"/>
  <c r="F41" i="49"/>
  <c r="F44" i="49"/>
  <c r="F45" i="49"/>
  <c r="F46" i="49"/>
  <c r="F57" i="49"/>
  <c r="F60" i="49"/>
  <c r="F74" i="49"/>
  <c r="F80" i="49"/>
  <c r="F81" i="49"/>
  <c r="F82" i="49"/>
  <c r="E164" i="49"/>
  <c r="E165" i="49" s="1"/>
  <c r="E341" i="49" s="1"/>
  <c r="D164" i="49"/>
  <c r="D339" i="49" s="1"/>
  <c r="D165" i="49"/>
  <c r="D341" i="49" s="1"/>
  <c r="C164" i="49"/>
  <c r="C165" i="49" s="1"/>
  <c r="C341" i="49" s="1"/>
  <c r="P339" i="49"/>
  <c r="O339" i="49"/>
  <c r="N339" i="49"/>
  <c r="M339" i="49"/>
  <c r="L339" i="49"/>
  <c r="K339" i="49"/>
  <c r="C339" i="49"/>
  <c r="P338" i="49"/>
  <c r="O338" i="49"/>
  <c r="N338" i="49"/>
  <c r="M338" i="49"/>
  <c r="L338" i="49"/>
  <c r="K338" i="49"/>
  <c r="J338" i="49"/>
  <c r="E338" i="49"/>
  <c r="D338" i="49"/>
  <c r="C338" i="49"/>
  <c r="P337" i="49"/>
  <c r="O337" i="49"/>
  <c r="N337" i="49"/>
  <c r="M337" i="49"/>
  <c r="L337" i="49"/>
  <c r="I188" i="49"/>
  <c r="F188" i="49" s="1"/>
  <c r="I189" i="49"/>
  <c r="I190" i="49"/>
  <c r="F190" i="49" s="1"/>
  <c r="I191" i="49"/>
  <c r="F191" i="49" s="1"/>
  <c r="C192" i="49"/>
  <c r="E192" i="49"/>
  <c r="I193" i="49"/>
  <c r="F193" i="49" s="1"/>
  <c r="I194" i="49"/>
  <c r="F194" i="49" s="1"/>
  <c r="H188" i="49"/>
  <c r="H189" i="49"/>
  <c r="H190" i="49"/>
  <c r="H191" i="49"/>
  <c r="D192" i="49"/>
  <c r="H193" i="49"/>
  <c r="H194" i="49"/>
  <c r="G195" i="49"/>
  <c r="F189" i="49"/>
  <c r="E295" i="49"/>
  <c r="D295" i="49"/>
  <c r="D337" i="49"/>
  <c r="C295" i="49"/>
  <c r="C337" i="49" s="1"/>
  <c r="J336" i="49"/>
  <c r="I171" i="49"/>
  <c r="F171" i="49" s="1"/>
  <c r="I172" i="49"/>
  <c r="F172" i="49" s="1"/>
  <c r="I173" i="49"/>
  <c r="F173" i="49" s="1"/>
  <c r="I174" i="49"/>
  <c r="F174" i="49" s="1"/>
  <c r="I175" i="49"/>
  <c r="F175" i="49" s="1"/>
  <c r="I176" i="49"/>
  <c r="F176" i="49" s="1"/>
  <c r="I177" i="49"/>
  <c r="F177" i="49" s="1"/>
  <c r="I178" i="49"/>
  <c r="F178" i="49" s="1"/>
  <c r="I179" i="49"/>
  <c r="F179" i="49" s="1"/>
  <c r="I180" i="49"/>
  <c r="F180" i="49" s="1"/>
  <c r="I181" i="49"/>
  <c r="F181" i="49" s="1"/>
  <c r="C182" i="49"/>
  <c r="E182" i="49"/>
  <c r="I183" i="49"/>
  <c r="F183" i="49" s="1"/>
  <c r="I184" i="49"/>
  <c r="F184" i="49" s="1"/>
  <c r="H171" i="49"/>
  <c r="H172" i="49"/>
  <c r="H173" i="49"/>
  <c r="H174" i="49"/>
  <c r="H175" i="49"/>
  <c r="H176" i="49"/>
  <c r="H177" i="49"/>
  <c r="H178" i="49"/>
  <c r="H179" i="49"/>
  <c r="H180" i="49"/>
  <c r="H181" i="49"/>
  <c r="D182" i="49"/>
  <c r="H183" i="49"/>
  <c r="H184" i="49"/>
  <c r="G185" i="49"/>
  <c r="E273" i="49"/>
  <c r="E336" i="49" s="1"/>
  <c r="D273" i="49"/>
  <c r="D336" i="49"/>
  <c r="C273" i="49"/>
  <c r="C336" i="49" s="1"/>
  <c r="E333" i="49"/>
  <c r="E326" i="49"/>
  <c r="D333" i="49"/>
  <c r="D326" i="49"/>
  <c r="C333" i="49"/>
  <c r="C326" i="49"/>
  <c r="E212" i="49"/>
  <c r="E225" i="49"/>
  <c r="E231" i="49"/>
  <c r="E241" i="49"/>
  <c r="D212" i="49"/>
  <c r="D225" i="49"/>
  <c r="D231" i="49"/>
  <c r="D242" i="49" s="1"/>
  <c r="D241" i="49"/>
  <c r="C212" i="49"/>
  <c r="C225" i="49"/>
  <c r="C231" i="49"/>
  <c r="C241" i="49"/>
  <c r="C198" i="49"/>
  <c r="E198" i="49"/>
  <c r="D198" i="49"/>
  <c r="E120" i="49"/>
  <c r="D120" i="49"/>
  <c r="C120" i="49"/>
  <c r="E54" i="49"/>
  <c r="E89" i="49"/>
  <c r="D54" i="49"/>
  <c r="D89" i="49"/>
  <c r="D91" i="49" s="1"/>
  <c r="C54" i="49"/>
  <c r="C89" i="49"/>
  <c r="J290" i="48"/>
  <c r="J291" i="48"/>
  <c r="F291" i="48" s="1"/>
  <c r="J292" i="48"/>
  <c r="J293" i="48"/>
  <c r="F293" i="48" s="1"/>
  <c r="J294" i="48"/>
  <c r="F294" i="48" s="1"/>
  <c r="J298" i="48"/>
  <c r="J308" i="48" s="1"/>
  <c r="J300" i="48"/>
  <c r="J301" i="48"/>
  <c r="J329" i="48"/>
  <c r="J323" i="48"/>
  <c r="J112" i="48"/>
  <c r="F112" i="48" s="1"/>
  <c r="J164" i="48"/>
  <c r="K307" i="48"/>
  <c r="K308" i="48"/>
  <c r="K126" i="48"/>
  <c r="K164" i="48"/>
  <c r="I247" i="48"/>
  <c r="I248" i="48"/>
  <c r="F248" i="48" s="1"/>
  <c r="I249" i="48"/>
  <c r="I250" i="48"/>
  <c r="I251" i="48"/>
  <c r="I252" i="48"/>
  <c r="I253" i="48"/>
  <c r="F253" i="48" s="1"/>
  <c r="I254" i="48"/>
  <c r="F254" i="48" s="1"/>
  <c r="I255" i="48"/>
  <c r="F255" i="48" s="1"/>
  <c r="I256" i="48"/>
  <c r="I257" i="48"/>
  <c r="I258" i="48"/>
  <c r="I259" i="48"/>
  <c r="I260" i="48"/>
  <c r="I261" i="48"/>
  <c r="F261" i="48" s="1"/>
  <c r="I262" i="48"/>
  <c r="F262" i="48" s="1"/>
  <c r="I263" i="48"/>
  <c r="F263" i="48" s="1"/>
  <c r="I264" i="48"/>
  <c r="F264" i="48" s="1"/>
  <c r="I265" i="48"/>
  <c r="I266" i="48"/>
  <c r="I267" i="48"/>
  <c r="I268" i="48"/>
  <c r="I269" i="48"/>
  <c r="F269" i="48" s="1"/>
  <c r="I270" i="48"/>
  <c r="F270" i="48" s="1"/>
  <c r="I271" i="48"/>
  <c r="F271" i="48" s="1"/>
  <c r="I272" i="48"/>
  <c r="F272" i="48" s="1"/>
  <c r="I282" i="48"/>
  <c r="I283" i="48"/>
  <c r="I284" i="48"/>
  <c r="I285" i="48"/>
  <c r="I286" i="48"/>
  <c r="I287" i="48"/>
  <c r="F287" i="48" s="1"/>
  <c r="I288" i="48"/>
  <c r="F288" i="48" s="1"/>
  <c r="I289" i="48"/>
  <c r="F289" i="48" s="1"/>
  <c r="I297" i="48"/>
  <c r="I299" i="48"/>
  <c r="I302" i="48"/>
  <c r="I303" i="48"/>
  <c r="I304" i="48"/>
  <c r="F304" i="48" s="1"/>
  <c r="I305" i="48"/>
  <c r="F305" i="48" s="1"/>
  <c r="I306" i="48"/>
  <c r="F306" i="48" s="1"/>
  <c r="I327" i="48"/>
  <c r="I328" i="48"/>
  <c r="C311" i="48"/>
  <c r="E311" i="48"/>
  <c r="I312" i="48"/>
  <c r="I313" i="48"/>
  <c r="I204" i="48"/>
  <c r="F204" i="48" s="1"/>
  <c r="I205" i="48"/>
  <c r="I206" i="48"/>
  <c r="I207" i="48"/>
  <c r="I208" i="48"/>
  <c r="F208" i="48" s="1"/>
  <c r="I209" i="48"/>
  <c r="F209" i="48" s="1"/>
  <c r="I210" i="48"/>
  <c r="I220" i="48"/>
  <c r="I221" i="48"/>
  <c r="F221" i="48" s="1"/>
  <c r="I222" i="48"/>
  <c r="F222" i="48" s="1"/>
  <c r="I229" i="48"/>
  <c r="I233" i="48"/>
  <c r="I234" i="48"/>
  <c r="I235" i="48"/>
  <c r="I236" i="48"/>
  <c r="F236" i="48" s="1"/>
  <c r="I237" i="48"/>
  <c r="F237" i="48" s="1"/>
  <c r="I238" i="48"/>
  <c r="F238" i="48" s="1"/>
  <c r="I96" i="48"/>
  <c r="I97" i="48"/>
  <c r="I98" i="48"/>
  <c r="I99" i="48"/>
  <c r="I100" i="48"/>
  <c r="F100" i="48" s="1"/>
  <c r="I101" i="48"/>
  <c r="I102" i="48"/>
  <c r="F102" i="48" s="1"/>
  <c r="I103" i="48"/>
  <c r="F103" i="48" s="1"/>
  <c r="I104" i="48"/>
  <c r="F104" i="48" s="1"/>
  <c r="I105" i="48"/>
  <c r="I106" i="48"/>
  <c r="I107" i="48"/>
  <c r="I108" i="48"/>
  <c r="F108" i="48" s="1"/>
  <c r="I109" i="48"/>
  <c r="I110" i="48"/>
  <c r="F110" i="48" s="1"/>
  <c r="I111" i="48"/>
  <c r="F111" i="48" s="1"/>
  <c r="I113" i="48"/>
  <c r="F113" i="48" s="1"/>
  <c r="I114" i="48"/>
  <c r="I115" i="48"/>
  <c r="I116" i="48"/>
  <c r="I117" i="48"/>
  <c r="I118" i="48"/>
  <c r="F118" i="48" s="1"/>
  <c r="I119" i="48"/>
  <c r="F119" i="48" s="1"/>
  <c r="I124" i="48"/>
  <c r="F124" i="48" s="1"/>
  <c r="I149" i="48"/>
  <c r="F149" i="48" s="1"/>
  <c r="I150" i="48"/>
  <c r="I151" i="48"/>
  <c r="I152" i="48"/>
  <c r="I153" i="48"/>
  <c r="F153" i="48" s="1"/>
  <c r="I154" i="48"/>
  <c r="F154" i="48" s="1"/>
  <c r="I155" i="48"/>
  <c r="I156" i="48"/>
  <c r="F156" i="48" s="1"/>
  <c r="I157" i="48"/>
  <c r="F157" i="48" s="1"/>
  <c r="I158" i="48"/>
  <c r="I159" i="48"/>
  <c r="I160" i="48"/>
  <c r="I161" i="48"/>
  <c r="F161" i="48" s="1"/>
  <c r="I162" i="48"/>
  <c r="F162" i="48" s="1"/>
  <c r="I163" i="48"/>
  <c r="C137" i="48"/>
  <c r="E137" i="48"/>
  <c r="E140" i="48" s="1"/>
  <c r="I138" i="48"/>
  <c r="I139" i="48"/>
  <c r="F139" i="48" s="1"/>
  <c r="I141" i="48"/>
  <c r="I142" i="48"/>
  <c r="I143" i="48"/>
  <c r="F143" i="48" s="1"/>
  <c r="I145" i="48"/>
  <c r="F145" i="48" s="1"/>
  <c r="I12" i="48"/>
  <c r="F12" i="48" s="1"/>
  <c r="I13" i="48"/>
  <c r="I14" i="48"/>
  <c r="I15" i="48"/>
  <c r="F15" i="48" s="1"/>
  <c r="I16" i="48"/>
  <c r="I17" i="48"/>
  <c r="I18" i="48"/>
  <c r="F18" i="48" s="1"/>
  <c r="I19" i="48"/>
  <c r="F19" i="48" s="1"/>
  <c r="I20" i="48"/>
  <c r="I21" i="48"/>
  <c r="I22" i="48"/>
  <c r="F22" i="48" s="1"/>
  <c r="I23" i="48"/>
  <c r="F23" i="48" s="1"/>
  <c r="I24" i="48"/>
  <c r="I25" i="48"/>
  <c r="I26" i="48"/>
  <c r="F26" i="48" s="1"/>
  <c r="I27" i="48"/>
  <c r="F27" i="48" s="1"/>
  <c r="I28" i="48"/>
  <c r="F28" i="48" s="1"/>
  <c r="I29" i="48"/>
  <c r="I30" i="48"/>
  <c r="F30" i="48" s="1"/>
  <c r="I31" i="48"/>
  <c r="F31" i="48" s="1"/>
  <c r="I32" i="48"/>
  <c r="I33" i="48"/>
  <c r="I34" i="48"/>
  <c r="F34" i="48" s="1"/>
  <c r="I35" i="48"/>
  <c r="F35" i="48" s="1"/>
  <c r="I36" i="48"/>
  <c r="I37" i="48"/>
  <c r="I38" i="48"/>
  <c r="F38" i="48" s="1"/>
  <c r="I39" i="48"/>
  <c r="F39" i="48" s="1"/>
  <c r="I40" i="48"/>
  <c r="I41" i="48"/>
  <c r="I42" i="48"/>
  <c r="F42" i="48" s="1"/>
  <c r="I43" i="48"/>
  <c r="F43" i="48" s="1"/>
  <c r="I44" i="48"/>
  <c r="F44" i="48" s="1"/>
  <c r="I45" i="48"/>
  <c r="I46" i="48"/>
  <c r="F46" i="48" s="1"/>
  <c r="I55" i="48"/>
  <c r="I56" i="48"/>
  <c r="I57" i="48"/>
  <c r="I58" i="48"/>
  <c r="F58" i="48" s="1"/>
  <c r="I59" i="48"/>
  <c r="F59" i="48" s="1"/>
  <c r="I60" i="48"/>
  <c r="F60" i="48" s="1"/>
  <c r="I61" i="48"/>
  <c r="F61" i="48" s="1"/>
  <c r="I62" i="48"/>
  <c r="I68" i="48"/>
  <c r="C69" i="48"/>
  <c r="E69" i="48"/>
  <c r="I70" i="48"/>
  <c r="F70" i="48" s="1"/>
  <c r="I71" i="48"/>
  <c r="F71" i="48" s="1"/>
  <c r="I72" i="48"/>
  <c r="F72" i="48" s="1"/>
  <c r="I73" i="48"/>
  <c r="F73" i="48" s="1"/>
  <c r="I74" i="48"/>
  <c r="I75" i="48"/>
  <c r="I76" i="48"/>
  <c r="F76" i="48" s="1"/>
  <c r="I77" i="48"/>
  <c r="F77" i="48" s="1"/>
  <c r="I78" i="48"/>
  <c r="I79" i="48"/>
  <c r="I80" i="48"/>
  <c r="F80" i="48" s="1"/>
  <c r="I81" i="48"/>
  <c r="I82" i="48"/>
  <c r="F82" i="48" s="1"/>
  <c r="L330" i="48"/>
  <c r="L240" i="48"/>
  <c r="L165" i="48"/>
  <c r="L85" i="48"/>
  <c r="H247" i="48"/>
  <c r="H248" i="48"/>
  <c r="H249" i="48"/>
  <c r="H250" i="48"/>
  <c r="H251" i="48"/>
  <c r="H252" i="48"/>
  <c r="H253" i="48"/>
  <c r="H254" i="48"/>
  <c r="H255" i="48"/>
  <c r="H256" i="48"/>
  <c r="H257" i="48"/>
  <c r="H258" i="48"/>
  <c r="H259" i="48"/>
  <c r="H260" i="48"/>
  <c r="H261" i="48"/>
  <c r="H262" i="48"/>
  <c r="H263" i="48"/>
  <c r="H264" i="48"/>
  <c r="H265" i="48"/>
  <c r="H266" i="48"/>
  <c r="H267" i="48"/>
  <c r="H268" i="48"/>
  <c r="H269" i="48"/>
  <c r="H270" i="48"/>
  <c r="H271" i="48"/>
  <c r="H272" i="48"/>
  <c r="H282" i="48"/>
  <c r="H283" i="48"/>
  <c r="H284" i="48"/>
  <c r="H285" i="48"/>
  <c r="H286" i="48"/>
  <c r="H287" i="48"/>
  <c r="H288" i="48"/>
  <c r="H289" i="48"/>
  <c r="H290" i="48"/>
  <c r="H291" i="48"/>
  <c r="H292" i="48"/>
  <c r="H293" i="48"/>
  <c r="H294" i="48"/>
  <c r="H297" i="48"/>
  <c r="H298" i="48"/>
  <c r="H299" i="48"/>
  <c r="H300" i="48"/>
  <c r="H301" i="48"/>
  <c r="H302" i="48"/>
  <c r="H303" i="48"/>
  <c r="H304" i="48"/>
  <c r="H305" i="48"/>
  <c r="H306" i="48"/>
  <c r="H307" i="48"/>
  <c r="H327" i="48"/>
  <c r="H328" i="48"/>
  <c r="D311" i="48"/>
  <c r="H312" i="48"/>
  <c r="H313" i="48"/>
  <c r="H204" i="48"/>
  <c r="H205" i="48"/>
  <c r="H206" i="48"/>
  <c r="H207" i="48"/>
  <c r="H208" i="48"/>
  <c r="H209" i="48"/>
  <c r="H210" i="48"/>
  <c r="H220" i="48"/>
  <c r="H223" i="48" s="1"/>
  <c r="H221" i="48"/>
  <c r="H222" i="48"/>
  <c r="H229" i="48"/>
  <c r="H233" i="48"/>
  <c r="H234" i="48"/>
  <c r="H235" i="48"/>
  <c r="H236" i="48"/>
  <c r="H237" i="48"/>
  <c r="H238"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4" i="48"/>
  <c r="H149" i="48"/>
  <c r="H150" i="48"/>
  <c r="H151" i="48"/>
  <c r="H152" i="48"/>
  <c r="H153" i="48"/>
  <c r="H154" i="48"/>
  <c r="H155" i="48"/>
  <c r="H156" i="48"/>
  <c r="H157" i="48"/>
  <c r="H158" i="48"/>
  <c r="H159" i="48"/>
  <c r="H160" i="48"/>
  <c r="H161" i="48"/>
  <c r="H162" i="48"/>
  <c r="H163" i="48"/>
  <c r="D137" i="48"/>
  <c r="D140" i="48" s="1"/>
  <c r="H138" i="48"/>
  <c r="H139" i="48"/>
  <c r="H141" i="48"/>
  <c r="H142" i="48"/>
  <c r="H143" i="48"/>
  <c r="H145" i="48"/>
  <c r="H12" i="48"/>
  <c r="H13" i="48"/>
  <c r="H14" i="48"/>
  <c r="H15" i="48"/>
  <c r="H16" i="48"/>
  <c r="H17" i="48"/>
  <c r="H18" i="48"/>
  <c r="H19" i="48"/>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6" i="48"/>
  <c r="H55" i="48"/>
  <c r="H56" i="48"/>
  <c r="H57" i="48"/>
  <c r="H58" i="48"/>
  <c r="H59" i="48"/>
  <c r="H60" i="48"/>
  <c r="H62" i="48"/>
  <c r="H68" i="48"/>
  <c r="D69" i="48"/>
  <c r="H70" i="48"/>
  <c r="H71" i="48"/>
  <c r="H72" i="48"/>
  <c r="H73" i="48"/>
  <c r="H74" i="48"/>
  <c r="H75" i="48"/>
  <c r="H76" i="48"/>
  <c r="H77" i="48"/>
  <c r="H78" i="48"/>
  <c r="H79" i="48"/>
  <c r="H80" i="48"/>
  <c r="H81" i="48"/>
  <c r="H82" i="48"/>
  <c r="G273" i="48"/>
  <c r="G295" i="48"/>
  <c r="G308" i="48"/>
  <c r="G329" i="48"/>
  <c r="G323" i="48"/>
  <c r="G211" i="48"/>
  <c r="G223" i="48"/>
  <c r="G229" i="48"/>
  <c r="G239" i="48"/>
  <c r="G126" i="48"/>
  <c r="G164" i="48"/>
  <c r="G146" i="48"/>
  <c r="G48" i="48"/>
  <c r="G63" i="48"/>
  <c r="G83" i="48"/>
  <c r="F249" i="48"/>
  <c r="F250" i="48"/>
  <c r="F251" i="48"/>
  <c r="F252" i="48"/>
  <c r="F256" i="48"/>
  <c r="F257" i="48"/>
  <c r="F258" i="48"/>
  <c r="F259" i="48"/>
  <c r="F260" i="48"/>
  <c r="F265" i="48"/>
  <c r="F266" i="48"/>
  <c r="F267" i="48"/>
  <c r="F268" i="48"/>
  <c r="F282" i="48"/>
  <c r="F283" i="48"/>
  <c r="F284" i="48"/>
  <c r="F285" i="48"/>
  <c r="F286" i="48"/>
  <c r="F292" i="48"/>
  <c r="F297" i="48"/>
  <c r="F298" i="48"/>
  <c r="F299" i="48"/>
  <c r="F300" i="48"/>
  <c r="F301" i="48"/>
  <c r="F302" i="48"/>
  <c r="F303" i="48"/>
  <c r="F307" i="48"/>
  <c r="F328" i="48"/>
  <c r="F312" i="48"/>
  <c r="F313" i="48"/>
  <c r="F317" i="48"/>
  <c r="F318" i="48"/>
  <c r="F321" i="48"/>
  <c r="F322" i="48"/>
  <c r="F205" i="48"/>
  <c r="F206" i="48"/>
  <c r="F207" i="48"/>
  <c r="F210" i="48"/>
  <c r="F229" i="48"/>
  <c r="F233" i="48"/>
  <c r="F234" i="48"/>
  <c r="F235" i="48"/>
  <c r="F96" i="48"/>
  <c r="F97" i="48"/>
  <c r="F98" i="48"/>
  <c r="F99" i="48"/>
  <c r="F101" i="48"/>
  <c r="F105" i="48"/>
  <c r="F106" i="48"/>
  <c r="F107" i="48"/>
  <c r="F109" i="48"/>
  <c r="F114" i="48"/>
  <c r="F115" i="48"/>
  <c r="F116" i="48"/>
  <c r="F117" i="48"/>
  <c r="F150" i="48"/>
  <c r="F151" i="48"/>
  <c r="F152" i="48"/>
  <c r="F155" i="48"/>
  <c r="F158" i="48"/>
  <c r="F159" i="48"/>
  <c r="F160" i="48"/>
  <c r="F163" i="48"/>
  <c r="F138" i="48"/>
  <c r="F141" i="48"/>
  <c r="F142" i="48"/>
  <c r="F13" i="48"/>
  <c r="F16" i="48"/>
  <c r="F17" i="48"/>
  <c r="F20" i="48"/>
  <c r="F21" i="48"/>
  <c r="F24" i="48"/>
  <c r="F25" i="48"/>
  <c r="F29" i="48"/>
  <c r="F32" i="48"/>
  <c r="F33" i="48"/>
  <c r="F36" i="48"/>
  <c r="F37" i="48"/>
  <c r="F40" i="48"/>
  <c r="F41" i="48"/>
  <c r="F45" i="48"/>
  <c r="F55" i="48"/>
  <c r="F56" i="48"/>
  <c r="F57" i="48"/>
  <c r="F62" i="48"/>
  <c r="F68" i="48"/>
  <c r="F74" i="48"/>
  <c r="F75" i="48"/>
  <c r="F78" i="48"/>
  <c r="F79" i="48"/>
  <c r="F81" i="48"/>
  <c r="E164" i="48"/>
  <c r="E339" i="48" s="1"/>
  <c r="D164" i="48"/>
  <c r="D165" i="48" s="1"/>
  <c r="D341" i="48" s="1"/>
  <c r="C164" i="48"/>
  <c r="C165" i="48" s="1"/>
  <c r="C341" i="48" s="1"/>
  <c r="P339" i="48"/>
  <c r="O339" i="48"/>
  <c r="N339" i="48"/>
  <c r="M339" i="48"/>
  <c r="L339" i="48"/>
  <c r="K339" i="48"/>
  <c r="J339" i="48"/>
  <c r="C339" i="48"/>
  <c r="P338" i="48"/>
  <c r="O338" i="48"/>
  <c r="N338" i="48"/>
  <c r="M338" i="48"/>
  <c r="L338" i="48"/>
  <c r="K338" i="48"/>
  <c r="J338" i="48"/>
  <c r="G338" i="48"/>
  <c r="E338" i="48"/>
  <c r="D338" i="48"/>
  <c r="C338" i="48"/>
  <c r="P337" i="48"/>
  <c r="O337" i="48"/>
  <c r="N337" i="48"/>
  <c r="M337" i="48"/>
  <c r="L337" i="48"/>
  <c r="I188" i="48"/>
  <c r="I189" i="48"/>
  <c r="F189" i="48" s="1"/>
  <c r="I190" i="48"/>
  <c r="F190" i="48" s="1"/>
  <c r="I191" i="48"/>
  <c r="F191" i="48" s="1"/>
  <c r="C192" i="48"/>
  <c r="E192" i="48"/>
  <c r="I193" i="48"/>
  <c r="F193" i="48" s="1"/>
  <c r="I194" i="48"/>
  <c r="F194" i="48" s="1"/>
  <c r="H188" i="48"/>
  <c r="H189" i="48"/>
  <c r="H190" i="48"/>
  <c r="H191" i="48"/>
  <c r="D192" i="48"/>
  <c r="H193" i="48"/>
  <c r="H194" i="48"/>
  <c r="G195" i="48"/>
  <c r="F188" i="48"/>
  <c r="E295" i="48"/>
  <c r="D295" i="48"/>
  <c r="D337" i="48" s="1"/>
  <c r="C295" i="48"/>
  <c r="K336" i="48"/>
  <c r="I171" i="48"/>
  <c r="F171" i="48" s="1"/>
  <c r="I172" i="48"/>
  <c r="I173" i="48"/>
  <c r="F173" i="48" s="1"/>
  <c r="I174" i="48"/>
  <c r="F174" i="48" s="1"/>
  <c r="I175" i="48"/>
  <c r="F175" i="48" s="1"/>
  <c r="I176" i="48"/>
  <c r="F176" i="48" s="1"/>
  <c r="I177" i="48"/>
  <c r="F177" i="48" s="1"/>
  <c r="I178" i="48"/>
  <c r="F178" i="48" s="1"/>
  <c r="I179" i="48"/>
  <c r="F179" i="48" s="1"/>
  <c r="I180" i="48"/>
  <c r="F180" i="48" s="1"/>
  <c r="I181" i="48"/>
  <c r="F181" i="48" s="1"/>
  <c r="C182" i="48"/>
  <c r="E182" i="48"/>
  <c r="I183" i="48"/>
  <c r="I184" i="48"/>
  <c r="F184" i="48" s="1"/>
  <c r="H171" i="48"/>
  <c r="H172" i="48"/>
  <c r="H173" i="48"/>
  <c r="H174" i="48"/>
  <c r="H175" i="48"/>
  <c r="H176" i="48"/>
  <c r="H177" i="48"/>
  <c r="H178" i="48"/>
  <c r="H179" i="48"/>
  <c r="H180" i="48"/>
  <c r="H181" i="48"/>
  <c r="D182" i="48"/>
  <c r="H183" i="48"/>
  <c r="H184" i="48"/>
  <c r="G185" i="48"/>
  <c r="G336" i="48"/>
  <c r="F172" i="48"/>
  <c r="F183" i="48"/>
  <c r="E273" i="48"/>
  <c r="E336" i="48"/>
  <c r="D273" i="48"/>
  <c r="D336" i="48" s="1"/>
  <c r="C273" i="48"/>
  <c r="C336" i="48"/>
  <c r="E333" i="48"/>
  <c r="E326" i="48"/>
  <c r="D333" i="48"/>
  <c r="D326" i="48"/>
  <c r="C333" i="48"/>
  <c r="C326" i="48"/>
  <c r="E212" i="48"/>
  <c r="E242" i="48" s="1"/>
  <c r="E225" i="48"/>
  <c r="E231" i="48"/>
  <c r="E241" i="48"/>
  <c r="D212" i="48"/>
  <c r="D225" i="48"/>
  <c r="D231" i="48"/>
  <c r="D241" i="48"/>
  <c r="C212" i="48"/>
  <c r="C225" i="48"/>
  <c r="C231" i="48"/>
  <c r="C241" i="48"/>
  <c r="C198" i="48"/>
  <c r="E198" i="48"/>
  <c r="D198" i="48"/>
  <c r="E120" i="48"/>
  <c r="D120" i="48"/>
  <c r="C120" i="48"/>
  <c r="E54" i="48"/>
  <c r="E89" i="48"/>
  <c r="D54" i="48"/>
  <c r="D89" i="48"/>
  <c r="C54" i="48"/>
  <c r="C89" i="48"/>
  <c r="E212" i="42"/>
  <c r="E225" i="42"/>
  <c r="E231" i="42"/>
  <c r="E241" i="42"/>
  <c r="D212" i="42"/>
  <c r="D225" i="42"/>
  <c r="D231" i="42"/>
  <c r="D241" i="42"/>
  <c r="C212" i="42"/>
  <c r="C225" i="42"/>
  <c r="C231" i="42"/>
  <c r="C241" i="42"/>
  <c r="E182" i="42"/>
  <c r="E192" i="42"/>
  <c r="E198" i="42"/>
  <c r="D182" i="42"/>
  <c r="D192" i="42"/>
  <c r="D198" i="42"/>
  <c r="C182" i="42"/>
  <c r="C192" i="42"/>
  <c r="C198" i="42"/>
  <c r="E273" i="42"/>
  <c r="E295" i="42"/>
  <c r="E311" i="42"/>
  <c r="E333" i="42"/>
  <c r="E326" i="42"/>
  <c r="D273" i="42"/>
  <c r="D295" i="42"/>
  <c r="D311" i="42"/>
  <c r="D333" i="42"/>
  <c r="D326" i="42"/>
  <c r="C273" i="42"/>
  <c r="C295" i="42"/>
  <c r="C311" i="42"/>
  <c r="C333" i="42"/>
  <c r="C326" i="42"/>
  <c r="E54" i="42"/>
  <c r="E69" i="42"/>
  <c r="E89" i="42"/>
  <c r="D54" i="42"/>
  <c r="D69" i="42"/>
  <c r="D89" i="42"/>
  <c r="C54" i="42"/>
  <c r="C69" i="42"/>
  <c r="C89" i="42"/>
  <c r="E137" i="42"/>
  <c r="E140" i="42" s="1"/>
  <c r="D137" i="42"/>
  <c r="D140" i="42" s="1"/>
  <c r="C137" i="42"/>
  <c r="C140" i="42" s="1"/>
  <c r="H140" i="42" s="1"/>
  <c r="E120" i="42"/>
  <c r="D120" i="42"/>
  <c r="C120" i="42"/>
  <c r="I24" i="38"/>
  <c r="I16" i="38"/>
  <c r="I18" i="38"/>
  <c r="I19" i="38"/>
  <c r="I20" i="38"/>
  <c r="I21" i="38"/>
  <c r="I22" i="38"/>
  <c r="L25" i="38"/>
  <c r="M19" i="38"/>
  <c r="M20" i="38"/>
  <c r="M21" i="38"/>
  <c r="M22" i="38"/>
  <c r="D33" i="19"/>
  <c r="N17" i="7"/>
  <c r="G34" i="20"/>
  <c r="G33" i="20" s="1"/>
  <c r="F33" i="20"/>
  <c r="E33" i="20"/>
  <c r="I221" i="42"/>
  <c r="I222" i="42"/>
  <c r="I220" i="42"/>
  <c r="I184" i="42"/>
  <c r="I138" i="42"/>
  <c r="F138" i="42" s="1"/>
  <c r="I139" i="42"/>
  <c r="I141" i="42"/>
  <c r="I142" i="42"/>
  <c r="F142" i="42" s="1"/>
  <c r="I143" i="42"/>
  <c r="F143" i="42" s="1"/>
  <c r="I111" i="42"/>
  <c r="I56" i="42"/>
  <c r="I57" i="42"/>
  <c r="F57" i="42" s="1"/>
  <c r="I58" i="42"/>
  <c r="F58" i="42" s="1"/>
  <c r="I59" i="42"/>
  <c r="I60" i="42"/>
  <c r="I55" i="42"/>
  <c r="I38" i="42"/>
  <c r="F38" i="42" s="1"/>
  <c r="I24" i="42"/>
  <c r="I283" i="42"/>
  <c r="F283" i="42" s="1"/>
  <c r="I284" i="42"/>
  <c r="I285" i="42"/>
  <c r="I286" i="42"/>
  <c r="I287" i="42"/>
  <c r="I288" i="42"/>
  <c r="F288" i="42" s="1"/>
  <c r="I289" i="42"/>
  <c r="I282" i="42"/>
  <c r="J291" i="42"/>
  <c r="J292" i="42"/>
  <c r="J293" i="42"/>
  <c r="J294" i="42"/>
  <c r="J290" i="42"/>
  <c r="I183" i="42"/>
  <c r="F183" i="42" s="1"/>
  <c r="I145" i="42"/>
  <c r="F145" i="42" s="1"/>
  <c r="I124" i="42"/>
  <c r="F124" i="42" s="1"/>
  <c r="I46" i="42"/>
  <c r="I62" i="42"/>
  <c r="I68" i="42"/>
  <c r="I70" i="42"/>
  <c r="I72" i="42"/>
  <c r="I73" i="42"/>
  <c r="I74" i="42"/>
  <c r="F74" i="42" s="1"/>
  <c r="I71" i="42"/>
  <c r="I75" i="42"/>
  <c r="I76" i="42"/>
  <c r="I77" i="42"/>
  <c r="F77" i="42" s="1"/>
  <c r="I78" i="42"/>
  <c r="F78" i="42" s="1"/>
  <c r="I79" i="42"/>
  <c r="I80" i="42"/>
  <c r="I81" i="42"/>
  <c r="F81" i="42" s="1"/>
  <c r="I82" i="42"/>
  <c r="I61" i="42"/>
  <c r="I149" i="42"/>
  <c r="I150" i="42"/>
  <c r="F150" i="42" s="1"/>
  <c r="I151" i="42"/>
  <c r="I152" i="42"/>
  <c r="I153" i="42"/>
  <c r="I154" i="42"/>
  <c r="F154" i="42" s="1"/>
  <c r="I155" i="42"/>
  <c r="I156" i="42"/>
  <c r="I157" i="42"/>
  <c r="F157" i="42" s="1"/>
  <c r="I158" i="42"/>
  <c r="F158" i="42" s="1"/>
  <c r="I159" i="42"/>
  <c r="I160" i="42"/>
  <c r="I161" i="42"/>
  <c r="F161" i="42" s="1"/>
  <c r="I162" i="42"/>
  <c r="F162" i="42" s="1"/>
  <c r="I163" i="42"/>
  <c r="I96" i="42"/>
  <c r="I97" i="42"/>
  <c r="F97" i="42" s="1"/>
  <c r="I98" i="42"/>
  <c r="I99" i="42"/>
  <c r="F99" i="42" s="1"/>
  <c r="I100" i="42"/>
  <c r="I101" i="42"/>
  <c r="F101" i="42" s="1"/>
  <c r="I102" i="42"/>
  <c r="F102" i="42" s="1"/>
  <c r="I103" i="42"/>
  <c r="I104" i="42"/>
  <c r="F104" i="42" s="1"/>
  <c r="I105" i="42"/>
  <c r="I106" i="42"/>
  <c r="I107" i="42"/>
  <c r="F107" i="42" s="1"/>
  <c r="I108" i="42"/>
  <c r="I109" i="42"/>
  <c r="F109" i="42" s="1"/>
  <c r="I110" i="42"/>
  <c r="I113" i="42"/>
  <c r="I114" i="42"/>
  <c r="F114" i="42" s="1"/>
  <c r="I115" i="42"/>
  <c r="F115" i="42" s="1"/>
  <c r="I116" i="42"/>
  <c r="I117" i="42"/>
  <c r="F117" i="42" s="1"/>
  <c r="I118" i="42"/>
  <c r="I119" i="42"/>
  <c r="F119" i="42" s="1"/>
  <c r="I233" i="42"/>
  <c r="I234" i="42"/>
  <c r="I235" i="42"/>
  <c r="F235" i="42" s="1"/>
  <c r="I236" i="42"/>
  <c r="I237" i="42"/>
  <c r="F237" i="42" s="1"/>
  <c r="I238" i="42"/>
  <c r="I204" i="42"/>
  <c r="I205" i="42"/>
  <c r="F205" i="42" s="1"/>
  <c r="I206" i="42"/>
  <c r="F206" i="42" s="1"/>
  <c r="I207" i="42"/>
  <c r="I208" i="42"/>
  <c r="I209" i="42"/>
  <c r="I210" i="42"/>
  <c r="I229" i="42"/>
  <c r="I328" i="42"/>
  <c r="I327" i="42"/>
  <c r="F327" i="42" s="1"/>
  <c r="I247" i="42"/>
  <c r="I248" i="42"/>
  <c r="F248" i="42" s="1"/>
  <c r="I249" i="42"/>
  <c r="I250" i="42"/>
  <c r="F250" i="42" s="1"/>
  <c r="I251" i="42"/>
  <c r="F251" i="42" s="1"/>
  <c r="I252" i="42"/>
  <c r="F252" i="42" s="1"/>
  <c r="I253" i="42"/>
  <c r="F253" i="42" s="1"/>
  <c r="I254" i="42"/>
  <c r="I255" i="42"/>
  <c r="I256" i="42"/>
  <c r="F256" i="42" s="1"/>
  <c r="I257" i="42"/>
  <c r="F257" i="42" s="1"/>
  <c r="I258" i="42"/>
  <c r="I259" i="42"/>
  <c r="F259" i="42" s="1"/>
  <c r="I260" i="42"/>
  <c r="F260" i="42" s="1"/>
  <c r="I261" i="42"/>
  <c r="F261" i="42" s="1"/>
  <c r="I262" i="42"/>
  <c r="I263" i="42"/>
  <c r="F263" i="42" s="1"/>
  <c r="I264" i="42"/>
  <c r="F264" i="42" s="1"/>
  <c r="I265" i="42"/>
  <c r="I266" i="42"/>
  <c r="I267" i="42"/>
  <c r="I268" i="42"/>
  <c r="F268" i="42"/>
  <c r="I269" i="42"/>
  <c r="F269" i="42" s="1"/>
  <c r="I270" i="42"/>
  <c r="F270" i="42" s="1"/>
  <c r="I271" i="42"/>
  <c r="I272" i="42"/>
  <c r="F272" i="42" s="1"/>
  <c r="I312" i="42"/>
  <c r="I313" i="42"/>
  <c r="F313" i="42" s="1"/>
  <c r="I297" i="42"/>
  <c r="I299" i="42"/>
  <c r="I302" i="42"/>
  <c r="I303" i="42"/>
  <c r="I304" i="42"/>
  <c r="F304" i="42" s="1"/>
  <c r="I305" i="42"/>
  <c r="I306" i="42"/>
  <c r="J298" i="42"/>
  <c r="J300" i="42"/>
  <c r="J301" i="42"/>
  <c r="J329" i="42"/>
  <c r="J323" i="42"/>
  <c r="J338" i="42" s="1"/>
  <c r="J112" i="42"/>
  <c r="J126" i="42" s="1"/>
  <c r="J164" i="42"/>
  <c r="K307" i="42"/>
  <c r="K126" i="42"/>
  <c r="K164" i="42"/>
  <c r="H12" i="42"/>
  <c r="H13" i="42"/>
  <c r="H14" i="42"/>
  <c r="H15" i="42"/>
  <c r="H16" i="42"/>
  <c r="H17" i="42"/>
  <c r="H18" i="42"/>
  <c r="H19" i="42"/>
  <c r="H20" i="42"/>
  <c r="H21" i="42"/>
  <c r="H22" i="42"/>
  <c r="H23" i="42"/>
  <c r="H24" i="42"/>
  <c r="H25" i="42"/>
  <c r="H26" i="42"/>
  <c r="H27" i="42"/>
  <c r="H28" i="42"/>
  <c r="H29" i="42"/>
  <c r="H30" i="42"/>
  <c r="H31" i="42"/>
  <c r="H32" i="42"/>
  <c r="H33" i="42"/>
  <c r="H34" i="42"/>
  <c r="H35" i="42"/>
  <c r="H36" i="42"/>
  <c r="H37" i="42"/>
  <c r="H38" i="42"/>
  <c r="H39" i="42"/>
  <c r="H40" i="42"/>
  <c r="H41" i="42"/>
  <c r="H42" i="42"/>
  <c r="H43" i="42"/>
  <c r="H44" i="42"/>
  <c r="H46" i="42"/>
  <c r="H171" i="42"/>
  <c r="H172" i="42"/>
  <c r="H173" i="42"/>
  <c r="H174" i="42"/>
  <c r="H175" i="42"/>
  <c r="H176" i="42"/>
  <c r="H177" i="42"/>
  <c r="H178" i="42"/>
  <c r="H179" i="42"/>
  <c r="H180" i="42"/>
  <c r="H181" i="42"/>
  <c r="H183" i="42"/>
  <c r="H184" i="42"/>
  <c r="H204" i="42"/>
  <c r="H205" i="42"/>
  <c r="H206" i="42"/>
  <c r="H207" i="42"/>
  <c r="H208" i="42"/>
  <c r="H209" i="42"/>
  <c r="H210" i="42"/>
  <c r="H247" i="42"/>
  <c r="H248" i="42"/>
  <c r="H249" i="42"/>
  <c r="H250" i="42"/>
  <c r="H251" i="42"/>
  <c r="H252" i="42"/>
  <c r="H253" i="42"/>
  <c r="H254" i="42"/>
  <c r="H255" i="42"/>
  <c r="H256" i="42"/>
  <c r="H257" i="42"/>
  <c r="H258" i="42"/>
  <c r="H259" i="42"/>
  <c r="H260" i="42"/>
  <c r="H261" i="42"/>
  <c r="H262" i="42"/>
  <c r="H263" i="42"/>
  <c r="H264" i="42"/>
  <c r="H265" i="42"/>
  <c r="H266" i="42"/>
  <c r="H267" i="42"/>
  <c r="H268" i="42"/>
  <c r="H269" i="42"/>
  <c r="H270" i="42"/>
  <c r="H271" i="42"/>
  <c r="H272" i="42"/>
  <c r="H96" i="42"/>
  <c r="H97" i="42"/>
  <c r="H98" i="42"/>
  <c r="H99" i="42"/>
  <c r="H100" i="42"/>
  <c r="H101" i="42"/>
  <c r="H102" i="42"/>
  <c r="H103" i="42"/>
  <c r="H104" i="42"/>
  <c r="H105" i="42"/>
  <c r="H106" i="42"/>
  <c r="H107" i="42"/>
  <c r="H108" i="42"/>
  <c r="H109" i="42"/>
  <c r="H110" i="42"/>
  <c r="H111" i="42"/>
  <c r="H112" i="42"/>
  <c r="H113" i="42"/>
  <c r="H114" i="42"/>
  <c r="H115" i="42"/>
  <c r="H116" i="42"/>
  <c r="H117" i="42"/>
  <c r="H118" i="42"/>
  <c r="H119" i="42"/>
  <c r="H124" i="42"/>
  <c r="H297" i="42"/>
  <c r="H298" i="42"/>
  <c r="H299" i="42"/>
  <c r="H300" i="42"/>
  <c r="H301" i="42"/>
  <c r="H302" i="42"/>
  <c r="H303" i="42"/>
  <c r="H304" i="42"/>
  <c r="H305" i="42"/>
  <c r="H306" i="42"/>
  <c r="H307" i="42"/>
  <c r="H282" i="42"/>
  <c r="H283" i="42"/>
  <c r="H284" i="42"/>
  <c r="H285" i="42"/>
  <c r="H286" i="42"/>
  <c r="H287" i="42"/>
  <c r="H288" i="42"/>
  <c r="H289" i="42"/>
  <c r="H290" i="42"/>
  <c r="H291" i="42"/>
  <c r="H292" i="42"/>
  <c r="H293" i="42"/>
  <c r="H294" i="42"/>
  <c r="H220" i="42"/>
  <c r="H223" i="42" s="1"/>
  <c r="H221" i="42"/>
  <c r="H222" i="42"/>
  <c r="H188" i="42"/>
  <c r="H189" i="42"/>
  <c r="H190" i="42"/>
  <c r="H191" i="42"/>
  <c r="H192" i="42"/>
  <c r="H193" i="42"/>
  <c r="H194" i="42"/>
  <c r="H55" i="42"/>
  <c r="H56" i="42"/>
  <c r="H57" i="42"/>
  <c r="H58" i="42"/>
  <c r="H59" i="42"/>
  <c r="H60" i="42"/>
  <c r="H62" i="42"/>
  <c r="H138" i="42"/>
  <c r="H139" i="42"/>
  <c r="H141" i="42"/>
  <c r="H142" i="42"/>
  <c r="H143" i="42"/>
  <c r="H145" i="42"/>
  <c r="I171" i="42"/>
  <c r="F171" i="42" s="1"/>
  <c r="I172" i="42"/>
  <c r="I173" i="42"/>
  <c r="F173" i="42" s="1"/>
  <c r="I174" i="42"/>
  <c r="F174" i="42" s="1"/>
  <c r="I175" i="42"/>
  <c r="F175" i="42" s="1"/>
  <c r="I176" i="42"/>
  <c r="I177" i="42"/>
  <c r="F177" i="42" s="1"/>
  <c r="I178" i="42"/>
  <c r="F178" i="42" s="1"/>
  <c r="I179" i="42"/>
  <c r="I180" i="42"/>
  <c r="I181" i="42"/>
  <c r="F181" i="42" s="1"/>
  <c r="I188" i="42"/>
  <c r="I189" i="42"/>
  <c r="F189" i="42" s="1"/>
  <c r="I190" i="42"/>
  <c r="I191" i="42"/>
  <c r="F191" i="42" s="1"/>
  <c r="I192" i="42"/>
  <c r="F192" i="42" s="1"/>
  <c r="I193" i="42"/>
  <c r="F193" i="42" s="1"/>
  <c r="I194" i="42"/>
  <c r="F194" i="42" s="1"/>
  <c r="I12" i="42"/>
  <c r="F12" i="42" s="1"/>
  <c r="I13" i="42"/>
  <c r="I14" i="42"/>
  <c r="F14" i="42" s="1"/>
  <c r="I15" i="42"/>
  <c r="I16" i="42"/>
  <c r="F16" i="42" s="1"/>
  <c r="I17" i="42"/>
  <c r="F17" i="42" s="1"/>
  <c r="I18" i="42"/>
  <c r="F18" i="42" s="1"/>
  <c r="I19" i="42"/>
  <c r="I20" i="42"/>
  <c r="F20" i="42" s="1"/>
  <c r="I21" i="42"/>
  <c r="I22" i="42"/>
  <c r="F22" i="42" s="1"/>
  <c r="I23" i="42"/>
  <c r="I25" i="42"/>
  <c r="F25" i="42" s="1"/>
  <c r="I26" i="42"/>
  <c r="F26" i="42" s="1"/>
  <c r="I27" i="42"/>
  <c r="F27" i="42" s="1"/>
  <c r="I28" i="42"/>
  <c r="I29" i="42"/>
  <c r="F29" i="42" s="1"/>
  <c r="I30" i="42"/>
  <c r="I31" i="42"/>
  <c r="I32" i="42"/>
  <c r="I33" i="42"/>
  <c r="I34" i="42"/>
  <c r="F34" i="42" s="1"/>
  <c r="I35" i="42"/>
  <c r="F35" i="42" s="1"/>
  <c r="I36" i="42"/>
  <c r="I37" i="42"/>
  <c r="I39" i="42"/>
  <c r="I40" i="42"/>
  <c r="F40" i="42" s="1"/>
  <c r="I41" i="42"/>
  <c r="I42" i="42"/>
  <c r="F42" i="42" s="1"/>
  <c r="I43" i="42"/>
  <c r="I44" i="42"/>
  <c r="I45" i="42"/>
  <c r="F45" i="42" s="1"/>
  <c r="H327" i="42"/>
  <c r="H328" i="42"/>
  <c r="H233" i="42"/>
  <c r="H234" i="42"/>
  <c r="H235" i="42"/>
  <c r="H236" i="42"/>
  <c r="H237" i="42"/>
  <c r="H238" i="42"/>
  <c r="H149" i="42"/>
  <c r="H150" i="42"/>
  <c r="H151" i="42"/>
  <c r="H152" i="42"/>
  <c r="H153" i="42"/>
  <c r="H154" i="42"/>
  <c r="H155" i="42"/>
  <c r="H156" i="42"/>
  <c r="H157" i="42"/>
  <c r="H158" i="42"/>
  <c r="H159" i="42"/>
  <c r="H160" i="42"/>
  <c r="H161" i="42"/>
  <c r="H162" i="42"/>
  <c r="H163" i="42"/>
  <c r="H68" i="42"/>
  <c r="H70" i="42"/>
  <c r="H71" i="42"/>
  <c r="H72" i="42"/>
  <c r="H73" i="42"/>
  <c r="H74" i="42"/>
  <c r="H75" i="42"/>
  <c r="H76" i="42"/>
  <c r="H77" i="42"/>
  <c r="H78" i="42"/>
  <c r="H79" i="42"/>
  <c r="H80" i="42"/>
  <c r="H81" i="42"/>
  <c r="H82" i="42"/>
  <c r="C9" i="18"/>
  <c r="C17" i="18"/>
  <c r="F306" i="42"/>
  <c r="F303" i="42"/>
  <c r="F305" i="42"/>
  <c r="F302" i="42"/>
  <c r="F297" i="42"/>
  <c r="C33" i="19"/>
  <c r="F312" i="42"/>
  <c r="F317" i="42"/>
  <c r="F318" i="42"/>
  <c r="F321" i="42"/>
  <c r="F322" i="42"/>
  <c r="F284" i="42"/>
  <c r="F285" i="42"/>
  <c r="F286" i="42"/>
  <c r="F287" i="42"/>
  <c r="F289" i="42"/>
  <c r="F290" i="42"/>
  <c r="F292" i="42"/>
  <c r="F293" i="42"/>
  <c r="F294" i="42"/>
  <c r="F282" i="42"/>
  <c r="F249" i="42"/>
  <c r="F254" i="42"/>
  <c r="F255" i="42"/>
  <c r="F258" i="42"/>
  <c r="F262" i="42"/>
  <c r="F265" i="42"/>
  <c r="F266" i="42"/>
  <c r="F267" i="42"/>
  <c r="F271" i="42"/>
  <c r="F247" i="42"/>
  <c r="F236" i="42"/>
  <c r="F238" i="42"/>
  <c r="F233" i="42"/>
  <c r="F222" i="42"/>
  <c r="F220" i="42"/>
  <c r="F207" i="42"/>
  <c r="F208" i="42"/>
  <c r="F209" i="42"/>
  <c r="F210" i="42"/>
  <c r="F204" i="42"/>
  <c r="F190" i="42"/>
  <c r="F188" i="42"/>
  <c r="F176" i="42"/>
  <c r="F179" i="42"/>
  <c r="F180" i="42"/>
  <c r="F184" i="42"/>
  <c r="F151" i="42"/>
  <c r="F152" i="42"/>
  <c r="F153" i="42"/>
  <c r="F155" i="42"/>
  <c r="F156" i="42"/>
  <c r="F159" i="42"/>
  <c r="F160" i="42"/>
  <c r="F163" i="42"/>
  <c r="F149" i="42"/>
  <c r="F139" i="42"/>
  <c r="F141" i="42"/>
  <c r="F100" i="42"/>
  <c r="F103" i="42"/>
  <c r="F105" i="42"/>
  <c r="F106" i="42"/>
  <c r="F108" i="42"/>
  <c r="F110" i="42"/>
  <c r="F111" i="42"/>
  <c r="F112" i="42"/>
  <c r="F113" i="42"/>
  <c r="F116" i="42"/>
  <c r="F118" i="42"/>
  <c r="F98" i="42"/>
  <c r="F96" i="42"/>
  <c r="F70" i="42"/>
  <c r="F71" i="42"/>
  <c r="F72" i="42"/>
  <c r="F73" i="42"/>
  <c r="F75" i="42"/>
  <c r="F76" i="42"/>
  <c r="F79" i="42"/>
  <c r="F80" i="42"/>
  <c r="F82" i="42"/>
  <c r="F68" i="42"/>
  <c r="F55" i="42"/>
  <c r="F56" i="42"/>
  <c r="F59" i="42"/>
  <c r="F60" i="42"/>
  <c r="F61" i="42"/>
  <c r="F62" i="42"/>
  <c r="F15" i="42"/>
  <c r="F19" i="42"/>
  <c r="F21" i="42"/>
  <c r="F23" i="42"/>
  <c r="F24" i="42"/>
  <c r="F28" i="42"/>
  <c r="F30" i="42"/>
  <c r="F31" i="42"/>
  <c r="F32" i="42"/>
  <c r="F33" i="42"/>
  <c r="F36" i="42"/>
  <c r="F37" i="42"/>
  <c r="F39" i="42"/>
  <c r="F41" i="42"/>
  <c r="F43" i="42"/>
  <c r="F44" i="42"/>
  <c r="F13" i="42"/>
  <c r="G48" i="42"/>
  <c r="N24" i="39"/>
  <c r="E22" i="37"/>
  <c r="G20" i="41"/>
  <c r="F22" i="37" s="1"/>
  <c r="H20" i="41"/>
  <c r="G22" i="37" s="1"/>
  <c r="I15" i="41"/>
  <c r="K20" i="41"/>
  <c r="J22" i="37" s="1"/>
  <c r="I17" i="41"/>
  <c r="I18" i="41"/>
  <c r="J20" i="41"/>
  <c r="I22" i="37" s="1"/>
  <c r="E15" i="41"/>
  <c r="E17" i="41"/>
  <c r="E18" i="41"/>
  <c r="E20" i="37"/>
  <c r="G22" i="40"/>
  <c r="F20" i="37" s="1"/>
  <c r="H22" i="40"/>
  <c r="G20" i="37" s="1"/>
  <c r="I16" i="40"/>
  <c r="I19" i="40"/>
  <c r="J22" i="40"/>
  <c r="I20" i="37" s="1"/>
  <c r="E15" i="40"/>
  <c r="E16" i="40"/>
  <c r="E17" i="40"/>
  <c r="E18" i="40"/>
  <c r="E19" i="40"/>
  <c r="E20" i="40"/>
  <c r="E18" i="37"/>
  <c r="E19" i="39"/>
  <c r="I17" i="39"/>
  <c r="I21" i="39"/>
  <c r="I22" i="39"/>
  <c r="J25" i="39"/>
  <c r="I18" i="37" s="1"/>
  <c r="E17" i="39"/>
  <c r="E18" i="39"/>
  <c r="E20" i="39"/>
  <c r="E21" i="39"/>
  <c r="E22" i="39"/>
  <c r="E23" i="39"/>
  <c r="E16" i="37"/>
  <c r="I20" i="7"/>
  <c r="I21" i="7"/>
  <c r="J24" i="7"/>
  <c r="I14" i="37" s="1"/>
  <c r="I16" i="37"/>
  <c r="E14" i="37"/>
  <c r="E14" i="7"/>
  <c r="E16" i="7"/>
  <c r="E17" i="7"/>
  <c r="E20" i="7"/>
  <c r="E22" i="7"/>
  <c r="D164" i="42"/>
  <c r="E164" i="42"/>
  <c r="E339" i="42" s="1"/>
  <c r="G329" i="42"/>
  <c r="G239" i="42"/>
  <c r="G164" i="42"/>
  <c r="G83" i="42"/>
  <c r="K339" i="42"/>
  <c r="L339" i="42"/>
  <c r="M339" i="42"/>
  <c r="N339" i="42"/>
  <c r="O339" i="42"/>
  <c r="P339" i="42"/>
  <c r="C164" i="42"/>
  <c r="C339" i="42" s="1"/>
  <c r="G63" i="42"/>
  <c r="G195" i="42"/>
  <c r="J336" i="42"/>
  <c r="G308" i="42"/>
  <c r="G146" i="42"/>
  <c r="G185" i="42"/>
  <c r="G211" i="42"/>
  <c r="G273" i="42"/>
  <c r="G126" i="42"/>
  <c r="E337" i="42"/>
  <c r="G295" i="42"/>
  <c r="G223" i="42"/>
  <c r="D338" i="42"/>
  <c r="F229" i="42"/>
  <c r="G323" i="42"/>
  <c r="G229" i="42"/>
  <c r="H311" i="42"/>
  <c r="H312" i="42"/>
  <c r="H313" i="42"/>
  <c r="H229" i="42"/>
  <c r="C337" i="42"/>
  <c r="G52" i="20"/>
  <c r="L330" i="42"/>
  <c r="L165" i="42"/>
  <c r="L240" i="42"/>
  <c r="L85" i="42"/>
  <c r="G85" i="42"/>
  <c r="K338" i="42"/>
  <c r="M337" i="42"/>
  <c r="N337" i="42"/>
  <c r="O337" i="42"/>
  <c r="P337" i="42"/>
  <c r="L337" i="42"/>
  <c r="L338" i="42"/>
  <c r="M338" i="42"/>
  <c r="N338" i="42"/>
  <c r="O338" i="42"/>
  <c r="P338" i="42"/>
  <c r="D336" i="42"/>
  <c r="E336" i="42"/>
  <c r="E338" i="42"/>
  <c r="E21" i="7"/>
  <c r="E15" i="7"/>
  <c r="E19" i="7"/>
  <c r="G25" i="39"/>
  <c r="F18" i="37"/>
  <c r="D337" i="42"/>
  <c r="C338" i="42"/>
  <c r="H24" i="7"/>
  <c r="G14" i="37" s="1"/>
  <c r="I23" i="39"/>
  <c r="H25" i="39"/>
  <c r="G18" i="37"/>
  <c r="L25" i="39"/>
  <c r="K18" i="37" s="1"/>
  <c r="M21" i="39"/>
  <c r="I15" i="40"/>
  <c r="I17" i="40"/>
  <c r="I20" i="39"/>
  <c r="M22" i="39"/>
  <c r="M23" i="39"/>
  <c r="I19" i="39"/>
  <c r="I18" i="40"/>
  <c r="E16" i="41"/>
  <c r="K16" i="37"/>
  <c r="L20" i="41"/>
  <c r="K22" i="37" s="1"/>
  <c r="I16" i="41"/>
  <c r="F299" i="42"/>
  <c r="F300" i="42"/>
  <c r="F301" i="42"/>
  <c r="F298" i="42"/>
  <c r="F46" i="42"/>
  <c r="G49" i="20"/>
  <c r="G42" i="20" s="1"/>
  <c r="I83" i="49"/>
  <c r="K330" i="49"/>
  <c r="K337" i="49"/>
  <c r="I182" i="48"/>
  <c r="F182" i="48" s="1"/>
  <c r="C199" i="49"/>
  <c r="E337" i="49"/>
  <c r="F173" i="50"/>
  <c r="H192" i="50"/>
  <c r="H195" i="50" s="1"/>
  <c r="I323" i="51"/>
  <c r="I338" i="51" s="1"/>
  <c r="F311" i="51"/>
  <c r="F323" i="51" s="1"/>
  <c r="F338" i="51" s="1"/>
  <c r="F191" i="50"/>
  <c r="C339" i="50"/>
  <c r="H48" i="50"/>
  <c r="I83" i="50"/>
  <c r="H69" i="49"/>
  <c r="H83" i="49"/>
  <c r="H63" i="50"/>
  <c r="K330" i="51"/>
  <c r="K341" i="51" s="1"/>
  <c r="K337" i="51"/>
  <c r="C199" i="51"/>
  <c r="D334" i="51"/>
  <c r="E337" i="51"/>
  <c r="E140" i="50"/>
  <c r="H182" i="51"/>
  <c r="H185" i="51" s="1"/>
  <c r="N22" i="40"/>
  <c r="M170" i="52" s="1"/>
  <c r="L19" i="7"/>
  <c r="P19" i="7" s="1"/>
  <c r="P16" i="38"/>
  <c r="L20" i="40"/>
  <c r="O17" i="7"/>
  <c r="M17" i="7" s="1"/>
  <c r="O19" i="39"/>
  <c r="L131" i="52"/>
  <c r="L212" i="52"/>
  <c r="L105" i="53"/>
  <c r="I150" i="53"/>
  <c r="F148" i="53"/>
  <c r="F150" i="53" s="1"/>
  <c r="I18" i="39"/>
  <c r="L22" i="40"/>
  <c r="K20" i="37" s="1"/>
  <c r="O18" i="39"/>
  <c r="P20" i="40"/>
  <c r="I17" i="7"/>
  <c r="F245" i="52"/>
  <c r="F246" i="52"/>
  <c r="N20" i="41" l="1"/>
  <c r="E24" i="37"/>
  <c r="I323" i="50"/>
  <c r="I338" i="50" s="1"/>
  <c r="F311" i="50"/>
  <c r="F323" i="50" s="1"/>
  <c r="F338" i="50" s="1"/>
  <c r="I14" i="7"/>
  <c r="O14" i="7"/>
  <c r="M14" i="7" s="1"/>
  <c r="M18" i="37"/>
  <c r="M375" i="53"/>
  <c r="M330" i="42"/>
  <c r="M330" i="48"/>
  <c r="M330" i="49"/>
  <c r="I192" i="48"/>
  <c r="F48" i="50"/>
  <c r="F295" i="50"/>
  <c r="D140" i="51"/>
  <c r="P22" i="7"/>
  <c r="P17" i="40"/>
  <c r="M17" i="40" s="1"/>
  <c r="C105" i="53"/>
  <c r="F67" i="53"/>
  <c r="E165" i="42"/>
  <c r="E341" i="42" s="1"/>
  <c r="H126" i="42"/>
  <c r="I223" i="42"/>
  <c r="E165" i="48"/>
  <c r="E341" i="48" s="1"/>
  <c r="K165" i="48"/>
  <c r="C91" i="49"/>
  <c r="E91" i="50"/>
  <c r="I137" i="50"/>
  <c r="F137" i="50" s="1"/>
  <c r="I321" i="53"/>
  <c r="I63" i="42"/>
  <c r="E199" i="48"/>
  <c r="H192" i="51"/>
  <c r="H83" i="51"/>
  <c r="P21" i="7"/>
  <c r="P17" i="39"/>
  <c r="I16" i="7"/>
  <c r="D294" i="52"/>
  <c r="F162" i="53"/>
  <c r="G185" i="53"/>
  <c r="H217" i="53"/>
  <c r="I140" i="50"/>
  <c r="F140" i="50" s="1"/>
  <c r="E22" i="40"/>
  <c r="D20" i="37" s="1"/>
  <c r="J308" i="42"/>
  <c r="D91" i="48"/>
  <c r="I311" i="48"/>
  <c r="E339" i="49"/>
  <c r="E91" i="49"/>
  <c r="J339" i="49"/>
  <c r="J185" i="53"/>
  <c r="J352" i="53"/>
  <c r="I69" i="42"/>
  <c r="F69" i="42" s="1"/>
  <c r="D334" i="49"/>
  <c r="F83" i="49"/>
  <c r="E185" i="53"/>
  <c r="H374" i="53"/>
  <c r="F350" i="53"/>
  <c r="E20" i="41"/>
  <c r="D22" i="37" s="1"/>
  <c r="H323" i="42"/>
  <c r="H338" i="42" s="1"/>
  <c r="C91" i="42"/>
  <c r="G338" i="49"/>
  <c r="C199" i="50"/>
  <c r="C140" i="50"/>
  <c r="P19" i="40"/>
  <c r="M19" i="40" s="1"/>
  <c r="D380" i="53"/>
  <c r="K375" i="53"/>
  <c r="H329" i="42"/>
  <c r="J165" i="42"/>
  <c r="I311" i="42"/>
  <c r="F311" i="42" s="1"/>
  <c r="G330" i="48"/>
  <c r="H69" i="48"/>
  <c r="G339" i="49"/>
  <c r="I182" i="51"/>
  <c r="G240" i="51"/>
  <c r="I169" i="52"/>
  <c r="D375" i="53"/>
  <c r="E377" i="53"/>
  <c r="I103" i="53"/>
  <c r="F185" i="48"/>
  <c r="D242" i="50"/>
  <c r="D199" i="51"/>
  <c r="H295" i="51"/>
  <c r="P18" i="40"/>
  <c r="M18" i="40" s="1"/>
  <c r="J170" i="52"/>
  <c r="C225" i="53"/>
  <c r="H367" i="53"/>
  <c r="H379" i="53" s="1"/>
  <c r="H140" i="49"/>
  <c r="I140" i="49"/>
  <c r="F140" i="49" s="1"/>
  <c r="C242" i="50"/>
  <c r="E242" i="50"/>
  <c r="I20" i="41"/>
  <c r="H22" i="37" s="1"/>
  <c r="F211" i="42"/>
  <c r="K165" i="49"/>
  <c r="J308" i="50"/>
  <c r="F301" i="50"/>
  <c r="I146" i="50"/>
  <c r="G330" i="42"/>
  <c r="F83" i="42"/>
  <c r="D334" i="48"/>
  <c r="G165" i="49"/>
  <c r="F239" i="49"/>
  <c r="M330" i="51"/>
  <c r="L341" i="42"/>
  <c r="M225" i="53"/>
  <c r="M330" i="50"/>
  <c r="G338" i="42"/>
  <c r="G240" i="42"/>
  <c r="C165" i="42"/>
  <c r="C341" i="42" s="1"/>
  <c r="K308" i="42"/>
  <c r="F307" i="42"/>
  <c r="F308" i="42" s="1"/>
  <c r="G339" i="48"/>
  <c r="J126" i="48"/>
  <c r="M20" i="37"/>
  <c r="M291" i="52"/>
  <c r="H83" i="48"/>
  <c r="H63" i="48"/>
  <c r="F327" i="48"/>
  <c r="F329" i="48" s="1"/>
  <c r="I329" i="48"/>
  <c r="I164" i="49"/>
  <c r="F323" i="42"/>
  <c r="F338" i="42" s="1"/>
  <c r="I137" i="49"/>
  <c r="F137" i="49" s="1"/>
  <c r="H137" i="49"/>
  <c r="H146" i="49" s="1"/>
  <c r="H295" i="50"/>
  <c r="K341" i="49"/>
  <c r="L336" i="42"/>
  <c r="G165" i="42"/>
  <c r="E242" i="42"/>
  <c r="I137" i="48"/>
  <c r="F137" i="48" s="1"/>
  <c r="C140" i="48"/>
  <c r="I140" i="48" s="1"/>
  <c r="H273" i="42"/>
  <c r="F164" i="42"/>
  <c r="C242" i="48"/>
  <c r="H182" i="48"/>
  <c r="H329" i="48"/>
  <c r="H295" i="48"/>
  <c r="C242" i="49"/>
  <c r="C334" i="49"/>
  <c r="F273" i="49"/>
  <c r="G330" i="49"/>
  <c r="I192" i="50"/>
  <c r="F192" i="50" s="1"/>
  <c r="F195" i="50" s="1"/>
  <c r="H195" i="51"/>
  <c r="H223" i="51"/>
  <c r="H273" i="51"/>
  <c r="C140" i="51"/>
  <c r="E295" i="52"/>
  <c r="E291" i="52"/>
  <c r="J339" i="42"/>
  <c r="C91" i="48"/>
  <c r="G337" i="48"/>
  <c r="E334" i="49"/>
  <c r="H273" i="49"/>
  <c r="C334" i="50"/>
  <c r="H211" i="50"/>
  <c r="H273" i="50"/>
  <c r="L85" i="51"/>
  <c r="E278" i="53"/>
  <c r="F367" i="53"/>
  <c r="F379" i="53" s="1"/>
  <c r="I367" i="53"/>
  <c r="I379" i="53" s="1"/>
  <c r="K380" i="53"/>
  <c r="F13" i="11"/>
  <c r="F238" i="52"/>
  <c r="I268" i="52"/>
  <c r="J268" i="52"/>
  <c r="H63" i="42"/>
  <c r="H195" i="42"/>
  <c r="D242" i="42"/>
  <c r="H137" i="48"/>
  <c r="H126" i="48"/>
  <c r="I239" i="48"/>
  <c r="H192" i="49"/>
  <c r="H195" i="49" s="1"/>
  <c r="H223" i="49"/>
  <c r="L85" i="49"/>
  <c r="F329" i="50"/>
  <c r="G338" i="50"/>
  <c r="L85" i="50"/>
  <c r="L336" i="50" s="1"/>
  <c r="I308" i="50"/>
  <c r="E91" i="51"/>
  <c r="D242" i="51"/>
  <c r="I69" i="51"/>
  <c r="J339" i="51"/>
  <c r="P15" i="41"/>
  <c r="L375" i="53"/>
  <c r="L382" i="53" s="1"/>
  <c r="L291" i="52"/>
  <c r="G377" i="53"/>
  <c r="E375" i="53"/>
  <c r="G278" i="53"/>
  <c r="I162" i="53"/>
  <c r="J278" i="53"/>
  <c r="D295" i="52"/>
  <c r="D291" i="52"/>
  <c r="G51" i="20"/>
  <c r="G50" i="20" s="1"/>
  <c r="I308" i="42"/>
  <c r="D334" i="42"/>
  <c r="I211" i="50"/>
  <c r="P18" i="41"/>
  <c r="O16" i="38"/>
  <c r="F74" i="53"/>
  <c r="C295" i="52"/>
  <c r="C291" i="52"/>
  <c r="D8" i="55"/>
  <c r="M21" i="7"/>
  <c r="H243" i="53"/>
  <c r="I184" i="53"/>
  <c r="G330" i="51"/>
  <c r="H48" i="51"/>
  <c r="H85" i="51" s="1"/>
  <c r="H329" i="51"/>
  <c r="J308" i="51"/>
  <c r="P19" i="39"/>
  <c r="M19" i="39" s="1"/>
  <c r="K15" i="38"/>
  <c r="I15" i="38" s="1"/>
  <c r="F16" i="37"/>
  <c r="D225" i="53"/>
  <c r="H277" i="53"/>
  <c r="H352" i="53"/>
  <c r="F6" i="11"/>
  <c r="F23" i="11" s="1"/>
  <c r="C293" i="52"/>
  <c r="I211" i="42"/>
  <c r="D199" i="42"/>
  <c r="E91" i="48"/>
  <c r="G165" i="48"/>
  <c r="I69" i="48"/>
  <c r="F239" i="48"/>
  <c r="I223" i="48"/>
  <c r="D199" i="49"/>
  <c r="H63" i="49"/>
  <c r="H164" i="49"/>
  <c r="I239" i="49"/>
  <c r="I339" i="49" s="1"/>
  <c r="C91" i="50"/>
  <c r="F126" i="50"/>
  <c r="D140" i="50"/>
  <c r="H140" i="50" s="1"/>
  <c r="H146" i="50" s="1"/>
  <c r="H329" i="50"/>
  <c r="E334" i="50"/>
  <c r="C91" i="51"/>
  <c r="D165" i="51"/>
  <c r="D341" i="51" s="1"/>
  <c r="H63" i="51"/>
  <c r="I239" i="51"/>
  <c r="H311" i="51"/>
  <c r="H323" i="51" s="1"/>
  <c r="H338" i="51" s="1"/>
  <c r="G16" i="37"/>
  <c r="G24" i="37" s="1"/>
  <c r="L170" i="52"/>
  <c r="C294" i="52"/>
  <c r="C278" i="53"/>
  <c r="F166" i="53"/>
  <c r="F184" i="53" s="1"/>
  <c r="F185" i="53" s="1"/>
  <c r="F333" i="53"/>
  <c r="G225" i="53"/>
  <c r="G375" i="53"/>
  <c r="H162" i="53"/>
  <c r="J225" i="53"/>
  <c r="I16" i="39"/>
  <c r="K20" i="40"/>
  <c r="K22" i="40" s="1"/>
  <c r="J20" i="37" s="1"/>
  <c r="H211" i="42"/>
  <c r="H48" i="49"/>
  <c r="H311" i="49"/>
  <c r="H323" i="49" s="1"/>
  <c r="H338" i="49" s="1"/>
  <c r="H69" i="50"/>
  <c r="H83" i="50" s="1"/>
  <c r="H85" i="50" s="1"/>
  <c r="F329" i="51"/>
  <c r="C185" i="53"/>
  <c r="H184" i="53"/>
  <c r="H268" i="52"/>
  <c r="G295" i="52"/>
  <c r="G291" i="52"/>
  <c r="L341" i="49"/>
  <c r="L336" i="49"/>
  <c r="L341" i="50"/>
  <c r="M17" i="39"/>
  <c r="D131" i="52"/>
  <c r="D293" i="52"/>
  <c r="C17" i="17"/>
  <c r="G56" i="20"/>
  <c r="C11" i="18"/>
  <c r="F217" i="52"/>
  <c r="I235" i="52"/>
  <c r="H235" i="52"/>
  <c r="H201" i="52"/>
  <c r="F168" i="52"/>
  <c r="F169" i="52" s="1"/>
  <c r="K283" i="52"/>
  <c r="K295" i="52" s="1"/>
  <c r="G294" i="52"/>
  <c r="G170" i="52"/>
  <c r="F130" i="52"/>
  <c r="H163" i="52"/>
  <c r="C131" i="52"/>
  <c r="H130" i="52"/>
  <c r="G212" i="52"/>
  <c r="E212" i="52"/>
  <c r="G293" i="52"/>
  <c r="K170" i="52"/>
  <c r="C78" i="52"/>
  <c r="K296" i="52"/>
  <c r="D170" i="52"/>
  <c r="F211" i="52"/>
  <c r="F183" i="52"/>
  <c r="E170" i="52"/>
  <c r="J131" i="52"/>
  <c r="K268" i="52"/>
  <c r="K291" i="52" s="1"/>
  <c r="C296" i="52"/>
  <c r="F105" i="52"/>
  <c r="F117" i="52"/>
  <c r="J293" i="52"/>
  <c r="E131" i="52"/>
  <c r="H169" i="52"/>
  <c r="I183" i="52"/>
  <c r="D212" i="52"/>
  <c r="K293" i="52"/>
  <c r="I290" i="52"/>
  <c r="C212" i="52"/>
  <c r="J212" i="52"/>
  <c r="D78" i="52"/>
  <c r="H283" i="52"/>
  <c r="H295" i="52" s="1"/>
  <c r="G131" i="52"/>
  <c r="G296" i="52"/>
  <c r="D296" i="52"/>
  <c r="H183" i="52"/>
  <c r="F201" i="52"/>
  <c r="H117" i="52"/>
  <c r="E293" i="52"/>
  <c r="M16" i="38"/>
  <c r="P15" i="38"/>
  <c r="N25" i="38"/>
  <c r="M15" i="41"/>
  <c r="P17" i="41"/>
  <c r="M17" i="41" s="1"/>
  <c r="M240" i="42"/>
  <c r="P16" i="41"/>
  <c r="M212" i="52"/>
  <c r="M22" i="37"/>
  <c r="M240" i="50"/>
  <c r="M240" i="48"/>
  <c r="M240" i="51"/>
  <c r="M240" i="49"/>
  <c r="M278" i="53"/>
  <c r="O16" i="41"/>
  <c r="O19" i="7"/>
  <c r="M19" i="7" s="1"/>
  <c r="I19" i="7"/>
  <c r="E18" i="7"/>
  <c r="E24" i="7" s="1"/>
  <c r="G24" i="7"/>
  <c r="F14" i="37" s="1"/>
  <c r="I24" i="37"/>
  <c r="L24" i="7"/>
  <c r="N24" i="7"/>
  <c r="M85" i="50" s="1"/>
  <c r="O16" i="7"/>
  <c r="P16" i="7"/>
  <c r="H76" i="52"/>
  <c r="E78" i="52"/>
  <c r="E296" i="52"/>
  <c r="E294" i="52"/>
  <c r="H56" i="52"/>
  <c r="G78" i="52"/>
  <c r="F8" i="55"/>
  <c r="E41" i="20"/>
  <c r="D22" i="20"/>
  <c r="D7" i="20" s="1"/>
  <c r="G28" i="20"/>
  <c r="G23" i="20"/>
  <c r="F22" i="20"/>
  <c r="F7" i="20" s="1"/>
  <c r="G17" i="20"/>
  <c r="D50" i="20"/>
  <c r="D41" i="20" s="1"/>
  <c r="E22" i="20"/>
  <c r="E7" i="20" s="1"/>
  <c r="G9" i="20"/>
  <c r="E8" i="55"/>
  <c r="F273" i="42"/>
  <c r="I323" i="48"/>
  <c r="I338" i="48" s="1"/>
  <c r="F311" i="48"/>
  <c r="F323" i="48" s="1"/>
  <c r="F338" i="48" s="1"/>
  <c r="I48" i="48"/>
  <c r="F14" i="48"/>
  <c r="F48" i="48" s="1"/>
  <c r="F126" i="49"/>
  <c r="I323" i="49"/>
  <c r="I338" i="49" s="1"/>
  <c r="F311" i="49"/>
  <c r="F323" i="49" s="1"/>
  <c r="F338" i="49" s="1"/>
  <c r="I126" i="42"/>
  <c r="I83" i="42"/>
  <c r="C199" i="42"/>
  <c r="H182" i="42"/>
  <c r="I182" i="42"/>
  <c r="F182" i="42" s="1"/>
  <c r="C242" i="42"/>
  <c r="G240" i="48"/>
  <c r="F211" i="48"/>
  <c r="J295" i="48"/>
  <c r="F290" i="48"/>
  <c r="F295" i="48" s="1"/>
  <c r="I308" i="49"/>
  <c r="F302" i="49"/>
  <c r="F308" i="49" s="1"/>
  <c r="H48" i="42"/>
  <c r="I164" i="42"/>
  <c r="D165" i="42"/>
  <c r="D341" i="42" s="1"/>
  <c r="D339" i="42"/>
  <c r="G336" i="42"/>
  <c r="H185" i="42"/>
  <c r="I239" i="42"/>
  <c r="F234" i="42"/>
  <c r="F239" i="42" s="1"/>
  <c r="I140" i="42"/>
  <c r="F140" i="42" s="1"/>
  <c r="F126" i="48"/>
  <c r="I273" i="42"/>
  <c r="F195" i="42"/>
  <c r="F48" i="42"/>
  <c r="I195" i="42"/>
  <c r="I329" i="42"/>
  <c r="F328" i="42"/>
  <c r="F329" i="42" s="1"/>
  <c r="F339" i="42" s="1"/>
  <c r="D91" i="42"/>
  <c r="H69" i="42"/>
  <c r="H83" i="42" s="1"/>
  <c r="C337" i="48"/>
  <c r="C334" i="48"/>
  <c r="F274" i="53"/>
  <c r="F277" i="53" s="1"/>
  <c r="I277" i="53"/>
  <c r="I185" i="48"/>
  <c r="G337" i="42"/>
  <c r="I48" i="42"/>
  <c r="H295" i="42"/>
  <c r="H308" i="42"/>
  <c r="I323" i="42"/>
  <c r="I338" i="42" s="1"/>
  <c r="F63" i="42"/>
  <c r="C334" i="42"/>
  <c r="C336" i="42"/>
  <c r="E334" i="42"/>
  <c r="M23" i="38"/>
  <c r="F146" i="49"/>
  <c r="J295" i="42"/>
  <c r="J330" i="42" s="1"/>
  <c r="J341" i="42" s="1"/>
  <c r="F291" i="42"/>
  <c r="F295" i="42" s="1"/>
  <c r="H48" i="48"/>
  <c r="F164" i="49"/>
  <c r="F339" i="49" s="1"/>
  <c r="F307" i="50"/>
  <c r="F308" i="50" s="1"/>
  <c r="K308" i="50"/>
  <c r="I15" i="7"/>
  <c r="P15" i="7"/>
  <c r="F126" i="42"/>
  <c r="F24" i="37"/>
  <c r="G339" i="42"/>
  <c r="H164" i="42"/>
  <c r="H239" i="42"/>
  <c r="H339" i="42" s="1"/>
  <c r="K165" i="42"/>
  <c r="K336" i="42"/>
  <c r="I295" i="42"/>
  <c r="I182" i="49"/>
  <c r="E199" i="49"/>
  <c r="H182" i="49"/>
  <c r="H185" i="49" s="1"/>
  <c r="I223" i="50"/>
  <c r="F221" i="50"/>
  <c r="F223" i="50" s="1"/>
  <c r="F190" i="51"/>
  <c r="I146" i="49"/>
  <c r="G341" i="42"/>
  <c r="F172" i="42"/>
  <c r="F185" i="42" s="1"/>
  <c r="I239" i="50"/>
  <c r="F237" i="50"/>
  <c r="F239" i="50" s="1"/>
  <c r="I273" i="50"/>
  <c r="D199" i="48"/>
  <c r="D339" i="48"/>
  <c r="G85" i="48"/>
  <c r="G341" i="48" s="1"/>
  <c r="I126" i="48"/>
  <c r="H311" i="48"/>
  <c r="H323" i="48" s="1"/>
  <c r="H338" i="48" s="1"/>
  <c r="K330" i="48"/>
  <c r="K341" i="48" s="1"/>
  <c r="K337" i="48"/>
  <c r="H308" i="49"/>
  <c r="I63" i="49"/>
  <c r="F55" i="49"/>
  <c r="F63" i="49" s="1"/>
  <c r="G339" i="50"/>
  <c r="G330" i="50"/>
  <c r="I63" i="50"/>
  <c r="F55" i="50"/>
  <c r="F63" i="50" s="1"/>
  <c r="J126" i="51"/>
  <c r="F112" i="51"/>
  <c r="P18" i="7"/>
  <c r="M18" i="7" s="1"/>
  <c r="H137" i="42"/>
  <c r="H146" i="42" s="1"/>
  <c r="E334" i="48"/>
  <c r="E337" i="48"/>
  <c r="I164" i="48"/>
  <c r="I295" i="48"/>
  <c r="F223" i="49"/>
  <c r="H211" i="49"/>
  <c r="I48" i="49"/>
  <c r="H185" i="50"/>
  <c r="I48" i="50"/>
  <c r="I63" i="51"/>
  <c r="F55" i="51"/>
  <c r="F63" i="51" s="1"/>
  <c r="E380" i="53"/>
  <c r="F221" i="42"/>
  <c r="F223" i="42" s="1"/>
  <c r="F240" i="42" s="1"/>
  <c r="I137" i="42"/>
  <c r="E91" i="42"/>
  <c r="D242" i="48"/>
  <c r="C199" i="48"/>
  <c r="H192" i="48"/>
  <c r="H195" i="48" s="1"/>
  <c r="H164" i="48"/>
  <c r="H239" i="48"/>
  <c r="L336" i="48"/>
  <c r="L341" i="48"/>
  <c r="I63" i="48"/>
  <c r="I308" i="48"/>
  <c r="F48" i="49"/>
  <c r="H308" i="50"/>
  <c r="E225" i="53"/>
  <c r="E378" i="53"/>
  <c r="H185" i="48"/>
  <c r="F63" i="48"/>
  <c r="I211" i="48"/>
  <c r="E242" i="49"/>
  <c r="I192" i="49"/>
  <c r="H211" i="48"/>
  <c r="I273" i="48"/>
  <c r="J295" i="49"/>
  <c r="K212" i="52"/>
  <c r="E199" i="42"/>
  <c r="F164" i="48"/>
  <c r="F308" i="48"/>
  <c r="F247" i="48"/>
  <c r="F273" i="48" s="1"/>
  <c r="H308" i="48"/>
  <c r="H273" i="48"/>
  <c r="G337" i="49"/>
  <c r="H126" i="49"/>
  <c r="F286" i="49"/>
  <c r="F295" i="49" s="1"/>
  <c r="I295" i="49"/>
  <c r="H223" i="50"/>
  <c r="H211" i="51"/>
  <c r="F62" i="52"/>
  <c r="F76" i="52" s="1"/>
  <c r="I76" i="52"/>
  <c r="I262" i="53"/>
  <c r="F254" i="53"/>
  <c r="F262" i="53" s="1"/>
  <c r="F243" i="53"/>
  <c r="G337" i="50"/>
  <c r="E242" i="51"/>
  <c r="F239" i="51"/>
  <c r="G165" i="51"/>
  <c r="G341" i="51" s="1"/>
  <c r="F285" i="51"/>
  <c r="I295" i="51"/>
  <c r="D105" i="53"/>
  <c r="D377" i="53"/>
  <c r="I243" i="53"/>
  <c r="G85" i="49"/>
  <c r="H239" i="49"/>
  <c r="H339" i="49" s="1"/>
  <c r="I126" i="49"/>
  <c r="I211" i="49"/>
  <c r="D336" i="50"/>
  <c r="D334" i="50"/>
  <c r="I195" i="50"/>
  <c r="F273" i="50"/>
  <c r="F330" i="50" s="1"/>
  <c r="J336" i="50"/>
  <c r="J165" i="50"/>
  <c r="G339" i="51"/>
  <c r="H239" i="51"/>
  <c r="I48" i="51"/>
  <c r="I164" i="51"/>
  <c r="F302" i="51"/>
  <c r="F308" i="51" s="1"/>
  <c r="I308" i="51"/>
  <c r="D378" i="53"/>
  <c r="D278" i="53"/>
  <c r="D382" i="53" s="1"/>
  <c r="F207" i="53"/>
  <c r="H150" i="53"/>
  <c r="H185" i="53" s="1"/>
  <c r="F20" i="53"/>
  <c r="F63" i="53" s="1"/>
  <c r="I63" i="53"/>
  <c r="F211" i="53"/>
  <c r="I217" i="53"/>
  <c r="F41" i="20"/>
  <c r="G240" i="49"/>
  <c r="G341" i="49" s="1"/>
  <c r="J308" i="49"/>
  <c r="J337" i="49" s="1"/>
  <c r="I126" i="50"/>
  <c r="J295" i="50"/>
  <c r="J330" i="50" s="1"/>
  <c r="D91" i="51"/>
  <c r="C165" i="51"/>
  <c r="C341" i="51" s="1"/>
  <c r="C339" i="51"/>
  <c r="H308" i="51"/>
  <c r="J377" i="53"/>
  <c r="C380" i="53"/>
  <c r="C375" i="53"/>
  <c r="F223" i="53"/>
  <c r="I224" i="53"/>
  <c r="I223" i="49"/>
  <c r="H239" i="50"/>
  <c r="I164" i="50"/>
  <c r="E334" i="51"/>
  <c r="H126" i="51"/>
  <c r="I126" i="51"/>
  <c r="I211" i="51"/>
  <c r="F206" i="51"/>
  <c r="F211" i="51" s="1"/>
  <c r="H63" i="53"/>
  <c r="G336" i="49"/>
  <c r="F205" i="49"/>
  <c r="F211" i="49" s="1"/>
  <c r="F240" i="49" s="1"/>
  <c r="I273" i="49"/>
  <c r="I330" i="49" s="1"/>
  <c r="J165" i="49"/>
  <c r="F83" i="50"/>
  <c r="H164" i="50"/>
  <c r="H311" i="50"/>
  <c r="H323" i="50" s="1"/>
  <c r="H338" i="50" s="1"/>
  <c r="C334" i="51"/>
  <c r="I192" i="51"/>
  <c r="F192" i="51" s="1"/>
  <c r="E199" i="51"/>
  <c r="F48" i="51"/>
  <c r="F96" i="51"/>
  <c r="G337" i="51"/>
  <c r="H164" i="51"/>
  <c r="I223" i="51"/>
  <c r="F222" i="51"/>
  <c r="F223" i="51" s="1"/>
  <c r="I45" i="52"/>
  <c r="G378" i="53"/>
  <c r="C378" i="53"/>
  <c r="F220" i="48"/>
  <c r="F223" i="48" s="1"/>
  <c r="H295" i="49"/>
  <c r="D199" i="50"/>
  <c r="I182" i="50"/>
  <c r="E199" i="50"/>
  <c r="I199" i="50" s="1"/>
  <c r="F199" i="50" s="1"/>
  <c r="G85" i="50"/>
  <c r="G336" i="50"/>
  <c r="G240" i="50"/>
  <c r="H126" i="50"/>
  <c r="I295" i="50"/>
  <c r="I273" i="51"/>
  <c r="F247" i="51"/>
  <c r="F273" i="51" s="1"/>
  <c r="F293" i="51"/>
  <c r="J295" i="51"/>
  <c r="K22" i="7"/>
  <c r="H211" i="52"/>
  <c r="F371" i="53"/>
  <c r="F374" i="53" s="1"/>
  <c r="I374" i="53"/>
  <c r="I130" i="52"/>
  <c r="C337" i="51"/>
  <c r="I329" i="51"/>
  <c r="P15" i="40"/>
  <c r="O18" i="38"/>
  <c r="O18" i="41"/>
  <c r="E105" i="53"/>
  <c r="G105" i="53"/>
  <c r="H290" i="52"/>
  <c r="I211" i="52"/>
  <c r="F217" i="53"/>
  <c r="H207" i="53"/>
  <c r="H225" i="53" s="1"/>
  <c r="I153" i="52"/>
  <c r="F290" i="52"/>
  <c r="F51" i="52"/>
  <c r="F56" i="52" s="1"/>
  <c r="I56" i="52"/>
  <c r="F151" i="51"/>
  <c r="F164" i="51" s="1"/>
  <c r="P18" i="39"/>
  <c r="M18" i="39" s="1"/>
  <c r="I352" i="53"/>
  <c r="H153" i="52"/>
  <c r="F153" i="52"/>
  <c r="P15" i="39"/>
  <c r="I283" i="52"/>
  <c r="I295" i="52" s="1"/>
  <c r="F252" i="52"/>
  <c r="H105" i="52"/>
  <c r="I105" i="52"/>
  <c r="L330" i="51"/>
  <c r="F224" i="53"/>
  <c r="H103" i="53"/>
  <c r="H380" i="53" s="1"/>
  <c r="H74" i="53"/>
  <c r="F352" i="53"/>
  <c r="F321" i="53"/>
  <c r="K162" i="53"/>
  <c r="E15" i="39"/>
  <c r="E25" i="39" s="1"/>
  <c r="D18" i="37" s="1"/>
  <c r="O15" i="39"/>
  <c r="K15" i="39"/>
  <c r="H321" i="53"/>
  <c r="H375" i="53" s="1"/>
  <c r="I207" i="53"/>
  <c r="K278" i="53"/>
  <c r="J296" i="52"/>
  <c r="G8" i="20"/>
  <c r="P16" i="39"/>
  <c r="M16" i="39" s="1"/>
  <c r="F272" i="52"/>
  <c r="F283" i="52" s="1"/>
  <c r="F295" i="52" s="1"/>
  <c r="I117" i="52"/>
  <c r="G17" i="55"/>
  <c r="F12" i="52"/>
  <c r="F45" i="52" s="1"/>
  <c r="O16" i="40"/>
  <c r="K117" i="52"/>
  <c r="K131" i="52" s="1"/>
  <c r="K298" i="52" s="1"/>
  <c r="I163" i="52"/>
  <c r="I201" i="52"/>
  <c r="K14" i="37" l="1"/>
  <c r="K24" i="37" s="1"/>
  <c r="O20" i="40"/>
  <c r="M20" i="40" s="1"/>
  <c r="J378" i="53"/>
  <c r="J375" i="53"/>
  <c r="I20" i="40"/>
  <c r="I22" i="40" s="1"/>
  <c r="H20" i="37" s="1"/>
  <c r="H337" i="42"/>
  <c r="F165" i="50"/>
  <c r="J382" i="53"/>
  <c r="F182" i="51"/>
  <c r="F185" i="51" s="1"/>
  <c r="I185" i="51"/>
  <c r="F375" i="53"/>
  <c r="J337" i="42"/>
  <c r="I185" i="53"/>
  <c r="F339" i="50"/>
  <c r="F240" i="50"/>
  <c r="F268" i="52"/>
  <c r="H85" i="49"/>
  <c r="I240" i="42"/>
  <c r="F146" i="50"/>
  <c r="F192" i="48"/>
  <c r="F195" i="48" s="1"/>
  <c r="I195" i="48"/>
  <c r="H165" i="50"/>
  <c r="H330" i="48"/>
  <c r="I330" i="48"/>
  <c r="I185" i="42"/>
  <c r="C298" i="52"/>
  <c r="H291" i="52"/>
  <c r="L298" i="52"/>
  <c r="I291" i="52"/>
  <c r="I140" i="51"/>
  <c r="H140" i="51"/>
  <c r="H146" i="51" s="1"/>
  <c r="H337" i="51" s="1"/>
  <c r="F291" i="52"/>
  <c r="H146" i="48"/>
  <c r="K330" i="42"/>
  <c r="K341" i="42" s="1"/>
  <c r="J342" i="42" s="1"/>
  <c r="K337" i="42"/>
  <c r="H140" i="48"/>
  <c r="H240" i="48"/>
  <c r="I240" i="50"/>
  <c r="H330" i="42"/>
  <c r="H165" i="48"/>
  <c r="H378" i="53"/>
  <c r="P25" i="39"/>
  <c r="G382" i="53"/>
  <c r="H336" i="49"/>
  <c r="H240" i="42"/>
  <c r="P20" i="41"/>
  <c r="P240" i="50" s="1"/>
  <c r="O15" i="38"/>
  <c r="M15" i="38" s="1"/>
  <c r="G298" i="52"/>
  <c r="F69" i="48"/>
  <c r="F83" i="48" s="1"/>
  <c r="F339" i="48" s="1"/>
  <c r="I83" i="48"/>
  <c r="I339" i="48" s="1"/>
  <c r="H339" i="50"/>
  <c r="H165" i="42"/>
  <c r="I330" i="51"/>
  <c r="H199" i="50"/>
  <c r="F330" i="49"/>
  <c r="I240" i="48"/>
  <c r="N240" i="48" s="1"/>
  <c r="G341" i="50"/>
  <c r="K17" i="38"/>
  <c r="K25" i="38" s="1"/>
  <c r="H330" i="50"/>
  <c r="I339" i="50"/>
  <c r="P25" i="38"/>
  <c r="P165" i="49" s="1"/>
  <c r="I225" i="53"/>
  <c r="N225" i="53" s="1"/>
  <c r="D16" i="37"/>
  <c r="D24" i="37" s="1"/>
  <c r="I380" i="53"/>
  <c r="H330" i="49"/>
  <c r="H165" i="49"/>
  <c r="C28" i="17"/>
  <c r="C20" i="17" s="1"/>
  <c r="M105" i="53"/>
  <c r="I339" i="42"/>
  <c r="E298" i="52"/>
  <c r="H278" i="53"/>
  <c r="F69" i="51"/>
  <c r="F83" i="51" s="1"/>
  <c r="F339" i="51" s="1"/>
  <c r="I83" i="51"/>
  <c r="F126" i="51"/>
  <c r="C382" i="53"/>
  <c r="D298" i="52"/>
  <c r="J165" i="48"/>
  <c r="J336" i="48"/>
  <c r="D58" i="20"/>
  <c r="H170" i="52"/>
  <c r="H212" i="52"/>
  <c r="I131" i="52"/>
  <c r="H296" i="52"/>
  <c r="C12" i="19" s="1"/>
  <c r="E12" i="19" s="1"/>
  <c r="F131" i="52"/>
  <c r="I212" i="52"/>
  <c r="N212" i="52" s="1"/>
  <c r="F212" i="52"/>
  <c r="J291" i="52"/>
  <c r="J298" i="52" s="1"/>
  <c r="H131" i="52"/>
  <c r="H294" i="52"/>
  <c r="C18" i="19" s="1"/>
  <c r="E18" i="19" s="1"/>
  <c r="O17" i="38"/>
  <c r="M17" i="38" s="1"/>
  <c r="J16" i="37"/>
  <c r="M131" i="52"/>
  <c r="M185" i="53"/>
  <c r="N185" i="53" s="1"/>
  <c r="M165" i="50"/>
  <c r="M341" i="50" s="1"/>
  <c r="M165" i="51"/>
  <c r="M165" i="48"/>
  <c r="M165" i="49"/>
  <c r="M165" i="42"/>
  <c r="M16" i="37"/>
  <c r="M16" i="41"/>
  <c r="N240" i="42"/>
  <c r="N240" i="50"/>
  <c r="M85" i="49"/>
  <c r="M85" i="51"/>
  <c r="M14" i="37"/>
  <c r="M85" i="42"/>
  <c r="M78" i="52"/>
  <c r="M85" i="48"/>
  <c r="M16" i="7"/>
  <c r="I296" i="52"/>
  <c r="F58" i="20"/>
  <c r="E58" i="20"/>
  <c r="G22" i="20"/>
  <c r="G41" i="20"/>
  <c r="F240" i="51"/>
  <c r="H341" i="42"/>
  <c r="I105" i="53"/>
  <c r="I377" i="53"/>
  <c r="N330" i="48"/>
  <c r="I199" i="48"/>
  <c r="F199" i="48" s="1"/>
  <c r="H199" i="48"/>
  <c r="J330" i="48"/>
  <c r="J341" i="48" s="1"/>
  <c r="J342" i="48" s="1"/>
  <c r="J337" i="48"/>
  <c r="F165" i="49"/>
  <c r="F85" i="48"/>
  <c r="F336" i="48"/>
  <c r="I85" i="50"/>
  <c r="N85" i="50" s="1"/>
  <c r="H336" i="48"/>
  <c r="H85" i="48"/>
  <c r="H341" i="48" s="1"/>
  <c r="F240" i="48"/>
  <c r="F377" i="53"/>
  <c r="F105" i="53"/>
  <c r="O22" i="40"/>
  <c r="M16" i="40"/>
  <c r="H78" i="52"/>
  <c r="H293" i="52"/>
  <c r="C9" i="19" s="1"/>
  <c r="E9" i="19" s="1"/>
  <c r="N330" i="51"/>
  <c r="H377" i="53"/>
  <c r="H105" i="53"/>
  <c r="H382" i="53" s="1"/>
  <c r="H339" i="51"/>
  <c r="I278" i="53"/>
  <c r="N278" i="53" s="1"/>
  <c r="H240" i="51"/>
  <c r="H337" i="48"/>
  <c r="H336" i="50"/>
  <c r="P165" i="42"/>
  <c r="F85" i="42"/>
  <c r="F336" i="42"/>
  <c r="H85" i="42"/>
  <c r="H336" i="42"/>
  <c r="F378" i="53"/>
  <c r="I336" i="51"/>
  <c r="I85" i="51"/>
  <c r="N85" i="51" s="1"/>
  <c r="F78" i="52"/>
  <c r="F293" i="52"/>
  <c r="F296" i="52"/>
  <c r="F380" i="53"/>
  <c r="I337" i="50"/>
  <c r="F225" i="53"/>
  <c r="I240" i="49"/>
  <c r="N240" i="49" s="1"/>
  <c r="F330" i="48"/>
  <c r="F137" i="42"/>
  <c r="F146" i="42" s="1"/>
  <c r="F337" i="42" s="1"/>
  <c r="I146" i="42"/>
  <c r="I165" i="42" s="1"/>
  <c r="P24" i="7"/>
  <c r="M15" i="7"/>
  <c r="I85" i="42"/>
  <c r="I336" i="42"/>
  <c r="I85" i="48"/>
  <c r="I336" i="48"/>
  <c r="I15" i="39"/>
  <c r="I25" i="39" s="1"/>
  <c r="H18" i="37" s="1"/>
  <c r="K25" i="39"/>
  <c r="J18" i="37" s="1"/>
  <c r="I170" i="52"/>
  <c r="N170" i="52" s="1"/>
  <c r="M18" i="41"/>
  <c r="O20" i="41"/>
  <c r="I240" i="51"/>
  <c r="N240" i="51" s="1"/>
  <c r="I165" i="49"/>
  <c r="F278" i="53"/>
  <c r="F382" i="53" s="1"/>
  <c r="J337" i="50"/>
  <c r="H339" i="48"/>
  <c r="I85" i="49"/>
  <c r="N85" i="49" s="1"/>
  <c r="H199" i="49"/>
  <c r="I199" i="49"/>
  <c r="F199" i="49" s="1"/>
  <c r="F330" i="42"/>
  <c r="I378" i="53"/>
  <c r="I375" i="53"/>
  <c r="F182" i="50"/>
  <c r="F185" i="50" s="1"/>
  <c r="F336" i="50" s="1"/>
  <c r="I185" i="50"/>
  <c r="I336" i="50" s="1"/>
  <c r="M15" i="39"/>
  <c r="M25" i="39" s="1"/>
  <c r="L18" i="37" s="1"/>
  <c r="O25" i="39"/>
  <c r="M18" i="38"/>
  <c r="I22" i="7"/>
  <c r="I24" i="7" s="1"/>
  <c r="H14" i="37" s="1"/>
  <c r="K24" i="7"/>
  <c r="J14" i="37" s="1"/>
  <c r="H240" i="50"/>
  <c r="E382" i="53"/>
  <c r="F140" i="48"/>
  <c r="F146" i="48" s="1"/>
  <c r="F165" i="48" s="1"/>
  <c r="I146" i="48"/>
  <c r="I165" i="48" s="1"/>
  <c r="H240" i="49"/>
  <c r="H341" i="49" s="1"/>
  <c r="H337" i="49"/>
  <c r="F182" i="49"/>
  <c r="F185" i="49" s="1"/>
  <c r="F336" i="49" s="1"/>
  <c r="I185" i="49"/>
  <c r="I336" i="49" s="1"/>
  <c r="H330" i="51"/>
  <c r="I330" i="42"/>
  <c r="I199" i="51"/>
  <c r="F199" i="51" s="1"/>
  <c r="H199" i="51"/>
  <c r="I78" i="52"/>
  <c r="I293" i="52"/>
  <c r="L341" i="51"/>
  <c r="L336" i="51"/>
  <c r="P330" i="49"/>
  <c r="P330" i="50"/>
  <c r="P330" i="48"/>
  <c r="P375" i="53"/>
  <c r="P330" i="51"/>
  <c r="O18" i="37"/>
  <c r="P330" i="42"/>
  <c r="P291" i="52"/>
  <c r="M15" i="40"/>
  <c r="M22" i="40" s="1"/>
  <c r="L20" i="37" s="1"/>
  <c r="P22" i="40"/>
  <c r="O22" i="7"/>
  <c r="H165" i="51"/>
  <c r="J341" i="50"/>
  <c r="F295" i="51"/>
  <c r="F192" i="49"/>
  <c r="F195" i="49" s="1"/>
  <c r="F337" i="49" s="1"/>
  <c r="I195" i="49"/>
  <c r="I337" i="49" s="1"/>
  <c r="H337" i="50"/>
  <c r="J165" i="51"/>
  <c r="J336" i="51"/>
  <c r="I330" i="50"/>
  <c r="I195" i="51"/>
  <c r="K330" i="50"/>
  <c r="K341" i="50" s="1"/>
  <c r="K337" i="50"/>
  <c r="H199" i="42"/>
  <c r="I199" i="42"/>
  <c r="F199" i="42" s="1"/>
  <c r="H336" i="51"/>
  <c r="K185" i="53"/>
  <c r="K382" i="53" s="1"/>
  <c r="J383" i="53" s="1"/>
  <c r="K378" i="53"/>
  <c r="F170" i="52"/>
  <c r="I339" i="51"/>
  <c r="J330" i="51"/>
  <c r="J337" i="51"/>
  <c r="F85" i="51"/>
  <c r="F336" i="51"/>
  <c r="N330" i="49"/>
  <c r="I165" i="50"/>
  <c r="N165" i="50" s="1"/>
  <c r="J330" i="49"/>
  <c r="J341" i="49" s="1"/>
  <c r="J342" i="49" s="1"/>
  <c r="F85" i="49"/>
  <c r="F85" i="50"/>
  <c r="F341" i="50" s="1"/>
  <c r="F195" i="51"/>
  <c r="F337" i="50"/>
  <c r="M336" i="50"/>
  <c r="C34" i="17" l="1"/>
  <c r="C32" i="17" s="1"/>
  <c r="E7" i="19"/>
  <c r="E35" i="19" s="1"/>
  <c r="I17" i="38"/>
  <c r="M298" i="52"/>
  <c r="O16" i="37"/>
  <c r="O25" i="38"/>
  <c r="O131" i="52" s="1"/>
  <c r="P165" i="48"/>
  <c r="P212" i="52"/>
  <c r="M336" i="48"/>
  <c r="I298" i="52"/>
  <c r="M25" i="38"/>
  <c r="L16" i="37" s="1"/>
  <c r="P185" i="53"/>
  <c r="P240" i="49"/>
  <c r="H298" i="52"/>
  <c r="P165" i="50"/>
  <c r="N105" i="53"/>
  <c r="F341" i="49"/>
  <c r="F140" i="51"/>
  <c r="F146" i="51" s="1"/>
  <c r="F165" i="51" s="1"/>
  <c r="I146" i="51"/>
  <c r="I165" i="51" s="1"/>
  <c r="I341" i="51" s="1"/>
  <c r="P165" i="51"/>
  <c r="I337" i="42"/>
  <c r="P278" i="53"/>
  <c r="P240" i="48"/>
  <c r="P240" i="51"/>
  <c r="H341" i="50"/>
  <c r="P131" i="52"/>
  <c r="P240" i="42"/>
  <c r="F298" i="52"/>
  <c r="J341" i="51"/>
  <c r="J342" i="51" s="1"/>
  <c r="H341" i="51"/>
  <c r="O22" i="37"/>
  <c r="J24" i="37"/>
  <c r="N131" i="52"/>
  <c r="N78" i="52"/>
  <c r="N165" i="49"/>
  <c r="M24" i="37"/>
  <c r="M382" i="53"/>
  <c r="N165" i="42"/>
  <c r="M341" i="48"/>
  <c r="M20" i="41"/>
  <c r="L22" i="37" s="1"/>
  <c r="M341" i="51"/>
  <c r="M336" i="51"/>
  <c r="N85" i="48"/>
  <c r="M341" i="42"/>
  <c r="M336" i="42"/>
  <c r="N85" i="42"/>
  <c r="M336" i="49"/>
  <c r="M341" i="49"/>
  <c r="C21" i="19"/>
  <c r="E21" i="19" s="1"/>
  <c r="G7" i="20"/>
  <c r="G58" i="20" s="1"/>
  <c r="N165" i="48"/>
  <c r="I341" i="48"/>
  <c r="O240" i="42"/>
  <c r="O240" i="50"/>
  <c r="O240" i="48"/>
  <c r="O278" i="53"/>
  <c r="O240" i="51"/>
  <c r="O240" i="49"/>
  <c r="N22" i="37"/>
  <c r="O212" i="52"/>
  <c r="F330" i="51"/>
  <c r="I337" i="48"/>
  <c r="F341" i="48"/>
  <c r="F165" i="42"/>
  <c r="F341" i="42" s="1"/>
  <c r="N20" i="37"/>
  <c r="O225" i="53"/>
  <c r="O170" i="52"/>
  <c r="N336" i="49"/>
  <c r="N341" i="49"/>
  <c r="O165" i="48"/>
  <c r="O165" i="51"/>
  <c r="N16" i="37"/>
  <c r="O185" i="53"/>
  <c r="O165" i="42"/>
  <c r="F337" i="48"/>
  <c r="N375" i="53"/>
  <c r="I382" i="53"/>
  <c r="N330" i="42"/>
  <c r="I341" i="42"/>
  <c r="N330" i="50"/>
  <c r="I341" i="50"/>
  <c r="N291" i="52"/>
  <c r="C26" i="17"/>
  <c r="O330" i="48"/>
  <c r="O330" i="50"/>
  <c r="O330" i="42"/>
  <c r="O330" i="51"/>
  <c r="O330" i="49"/>
  <c r="O375" i="53"/>
  <c r="N18" i="37"/>
  <c r="O291" i="52"/>
  <c r="P85" i="51"/>
  <c r="P105" i="53"/>
  <c r="P85" i="49"/>
  <c r="P341" i="49" s="1"/>
  <c r="P85" i="48"/>
  <c r="P336" i="48" s="1"/>
  <c r="P78" i="52"/>
  <c r="P85" i="50"/>
  <c r="P341" i="50" s="1"/>
  <c r="O14" i="37"/>
  <c r="P85" i="42"/>
  <c r="M22" i="7"/>
  <c r="M24" i="7" s="1"/>
  <c r="L14" i="37" s="1"/>
  <c r="O24" i="7"/>
  <c r="P170" i="52"/>
  <c r="O20" i="37"/>
  <c r="P225" i="53"/>
  <c r="I341" i="49"/>
  <c r="J342" i="50"/>
  <c r="L24" i="37" l="1"/>
  <c r="O165" i="49"/>
  <c r="O165" i="50"/>
  <c r="I25" i="38"/>
  <c r="H16" i="37" s="1"/>
  <c r="H24" i="37" s="1"/>
  <c r="P298" i="52"/>
  <c r="F341" i="51"/>
  <c r="F337" i="51"/>
  <c r="I337" i="51"/>
  <c r="N165" i="51"/>
  <c r="N336" i="51" s="1"/>
  <c r="P336" i="51"/>
  <c r="P336" i="42"/>
  <c r="N382" i="53"/>
  <c r="P382" i="53"/>
  <c r="N298" i="52"/>
  <c r="C10" i="17" s="1"/>
  <c r="C8" i="17" s="1"/>
  <c r="C39" i="17" s="1"/>
  <c r="O24" i="37"/>
  <c r="C16" i="18"/>
  <c r="N336" i="48"/>
  <c r="N341" i="48"/>
  <c r="P336" i="49"/>
  <c r="P336" i="50"/>
  <c r="P341" i="42"/>
  <c r="N336" i="50"/>
  <c r="N341" i="50"/>
  <c r="P341" i="51"/>
  <c r="P341" i="48"/>
  <c r="N341" i="42"/>
  <c r="N336" i="42"/>
  <c r="O85" i="48"/>
  <c r="O336" i="48" s="1"/>
  <c r="O78" i="52"/>
  <c r="O298" i="52" s="1"/>
  <c r="O105" i="53"/>
  <c r="O382" i="53" s="1"/>
  <c r="O85" i="50"/>
  <c r="O341" i="50" s="1"/>
  <c r="O85" i="51"/>
  <c r="O341" i="51" s="1"/>
  <c r="N14" i="37"/>
  <c r="N24" i="37" s="1"/>
  <c r="O85" i="49"/>
  <c r="O336" i="49" s="1"/>
  <c r="O85" i="42"/>
  <c r="O336" i="42" s="1"/>
  <c r="N341" i="51" l="1"/>
  <c r="C8" i="18"/>
  <c r="C7" i="18" s="1"/>
  <c r="C14" i="18"/>
  <c r="O341" i="48"/>
  <c r="O341" i="42"/>
  <c r="O336" i="50"/>
  <c r="O336" i="51"/>
  <c r="O341" i="49"/>
  <c r="C15" i="18" l="1"/>
  <c r="C13" i="18" l="1"/>
  <c r="C18"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HOANG NGUYEN</author>
  </authors>
  <commentList>
    <comment ref="L7" authorId="0" shapeId="0" xr:uid="{00000000-0006-0000-0300-000001000000}">
      <text>
        <r>
          <rPr>
            <b/>
            <sz val="9"/>
            <color rgb="FF000000"/>
            <rFont val="Tahoma"/>
            <family val="2"/>
          </rPr>
          <t>HOANG NGUYEN:</t>
        </r>
        <r>
          <rPr>
            <sz val="9"/>
            <color rgb="FF000000"/>
            <rFont val="Tahoma"/>
            <family val="2"/>
          </rPr>
          <t xml:space="preserve">
</t>
        </r>
        <r>
          <rPr>
            <sz val="9"/>
            <color rgb="FF000000"/>
            <rFont val="Tahoma"/>
            <family val="2"/>
          </rPr>
          <t>Các chỉ tiêu từ 12 - 16 lấy từ biểu số 3</t>
        </r>
      </text>
    </comment>
  </commentList>
</comments>
</file>

<file path=xl/sharedStrings.xml><?xml version="1.0" encoding="utf-8"?>
<sst xmlns="http://schemas.openxmlformats.org/spreadsheetml/2006/main" count="7106" uniqueCount="1667">
  <si>
    <t>STT</t>
  </si>
  <si>
    <t>Đơn vị tính</t>
  </si>
  <si>
    <t>Ghi chú</t>
  </si>
  <si>
    <t>TRƯỜNG ĐẠI HỌC VINH</t>
  </si>
  <si>
    <t>Đại học chính quy</t>
  </si>
  <si>
    <t>A</t>
  </si>
  <si>
    <t>I</t>
  </si>
  <si>
    <t>II</t>
  </si>
  <si>
    <t>Tổ bộ môn và họ tên giảng viên</t>
  </si>
  <si>
    <t>Chức danh</t>
  </si>
  <si>
    <t>Giờ giảng dạy</t>
  </si>
  <si>
    <t>Giờ NCKH</t>
  </si>
  <si>
    <t>Giờ HĐCM khác</t>
  </si>
  <si>
    <t>Cộng</t>
  </si>
  <si>
    <t>Số giờ chuẩn theo định mức</t>
  </si>
  <si>
    <t>Số giờ chuẩn còn phải đảm nhận</t>
  </si>
  <si>
    <t>Khác</t>
  </si>
  <si>
    <t>Lớp đảm nhận</t>
  </si>
  <si>
    <t>B</t>
  </si>
  <si>
    <t xml:space="preserve">Đơn vị tính: </t>
  </si>
  <si>
    <t>TRƯỞNG ĐƠN VỊ</t>
  </si>
  <si>
    <t>Tổng cộng toàn khoa:</t>
  </si>
  <si>
    <t>Số kinh phí đề nghị cấp</t>
  </si>
  <si>
    <t>Tổng cộng:</t>
  </si>
  <si>
    <t>III</t>
  </si>
  <si>
    <t>Hoạt động tại học kỳ</t>
  </si>
  <si>
    <t>Các nội dung cần mua sắm tài sản</t>
  </si>
  <si>
    <t>Đơn giá</t>
  </si>
  <si>
    <t>Thành tiền</t>
  </si>
  <si>
    <t>Biểu số 2</t>
  </si>
  <si>
    <t>Biểu số 4</t>
  </si>
  <si>
    <t>Biểu số 3</t>
  </si>
  <si>
    <t>Biểu số 5</t>
  </si>
  <si>
    <t>Biểu số 6</t>
  </si>
  <si>
    <t>Chức vụ</t>
  </si>
  <si>
    <t>IV</t>
  </si>
  <si>
    <t>Nội dung Nghiên cứu khoa học</t>
  </si>
  <si>
    <t>Số kinh phí</t>
  </si>
  <si>
    <t>Dự kiến thừa thiếu số giờ giảng dạy quy chuẩn</t>
  </si>
  <si>
    <t>V</t>
  </si>
  <si>
    <t>Nội dung</t>
  </si>
  <si>
    <t>Trang thiết bị văn phòng</t>
  </si>
  <si>
    <t>Mua sắm, sửa chữa</t>
  </si>
  <si>
    <t>Chi cho chuyên môn</t>
  </si>
  <si>
    <t>Chi cho con người</t>
  </si>
  <si>
    <t>Các khoản thu khác</t>
  </si>
  <si>
    <t>Dịch vụ</t>
  </si>
  <si>
    <t>Lệ phí</t>
  </si>
  <si>
    <t>Học phí</t>
  </si>
  <si>
    <t>A - CÁC KHOẢN THU</t>
  </si>
  <si>
    <t>TT</t>
  </si>
  <si>
    <t>Lệ phí tuyển sinh</t>
  </si>
  <si>
    <t>Đào tạo khác</t>
  </si>
  <si>
    <t>Sửa chữa trang thiết bị văn phòng</t>
  </si>
  <si>
    <t>Đoàn ra, đoàn vào</t>
  </si>
  <si>
    <t>Thuê giáo viên thính giảng, vận chuyển, thiết bị, chuyên gia</t>
  </si>
  <si>
    <t>Công tác phí</t>
  </si>
  <si>
    <t>Tiền điện thoại, sách báo tạp chí, Internet</t>
  </si>
  <si>
    <t>Tiền VPP, mua sắm dụng cụ văn phòng</t>
  </si>
  <si>
    <t>Tiền điện, tiền nước, vệ sinh, xăng dầu</t>
  </si>
  <si>
    <t>Trợ cấp khó khăn, thăm viếng, nghỉ phép</t>
  </si>
  <si>
    <t>Tiền thưởng các loại (Cấp trường, tỉnh,bộ, cá nhân, tập thể…)</t>
  </si>
  <si>
    <t>Làm thêm giờ, trực đêm, ngày lễ, dạy thừa giờ</t>
  </si>
  <si>
    <t>Học viên</t>
  </si>
  <si>
    <t>Đào tạo Tiến sỹ</t>
  </si>
  <si>
    <t>Sinh viên</t>
  </si>
  <si>
    <t>Cộng toàn đơn vị</t>
  </si>
  <si>
    <t>Số tín chỉ (hoặc số tiết giảng dạy)</t>
  </si>
  <si>
    <t>Nội dung đào tạo, bồi dưỡng</t>
  </si>
  <si>
    <t>ĐVT: Nghìn đồng</t>
  </si>
  <si>
    <t xml:space="preserve">Số tiền </t>
  </si>
  <si>
    <t>Địa điểm đặt lớp (trong trường hay ngoài Trường)</t>
  </si>
  <si>
    <t>. - Không tổng hợp số giờ giảng dạy khác (đào tạo ngắn hạn cấp chứng chỉ, đào tạo khác) vào số giờ giảng dạy của Tổ bộ môn, Khoa</t>
  </si>
  <si>
    <t>Đơn vị tính: Tiết chuẩn</t>
  </si>
  <si>
    <t>Công tác thực hành thí nghiệm</t>
  </si>
  <si>
    <t>Hoạt động chung của khoa</t>
  </si>
  <si>
    <t xml:space="preserve">Trình độ, hình thức đào tạo </t>
  </si>
  <si>
    <r>
      <rPr>
        <b/>
        <sz val="11"/>
        <color indexed="8"/>
        <rFont val="Times New Roman"/>
        <family val="1"/>
      </rPr>
      <t>Ghi chú:</t>
    </r>
    <r>
      <rPr>
        <sz val="11"/>
        <color indexed="8"/>
        <rFont val="Times New Roman"/>
        <family val="1"/>
      </rPr>
      <t xml:space="preserve"> - Các giảng viên, cán bộ hiện đang đi học phải ghi rõ trình độ, hình thức đào tạo, trong nước hay nước ngoài và thời gian bắt đầu được cử đi học đến khi kết thúc khóa học theo Quyết định cử đi học. Dự kiến trong năm cử CB, GV nào đi học và trình độ, hình thức và ở trong nước hay nước ngoài.</t>
    </r>
  </si>
  <si>
    <t>Các đề tài dự án do Bộ Giáo dục và Đào tạo giao theo dự toán</t>
  </si>
  <si>
    <t>Các đề tài, dự án cấp Bộ</t>
  </si>
  <si>
    <t>Các đề tài, dự án cấp Nhà nước</t>
  </si>
  <si>
    <t>Các đề tài, dự án cấp tỉnh</t>
  </si>
  <si>
    <t>Đơn vị tính: Nghìn đồng</t>
  </si>
  <si>
    <t>Đại học Giáo dục từ xa</t>
  </si>
  <si>
    <t>Số giờ NCKH đăng ký thực hiện</t>
  </si>
  <si>
    <t>Số giờ HĐCM khác đăng ký thực hiện</t>
  </si>
  <si>
    <t>(11)=(9)+(10)</t>
  </si>
  <si>
    <t>Đơn vị</t>
  </si>
  <si>
    <t>Học phí THPT chuyên</t>
  </si>
  <si>
    <t>Học phí Trường THSP</t>
  </si>
  <si>
    <t>Trẻ nhà trẻ</t>
  </si>
  <si>
    <t>Trẻ mẫu giáo</t>
  </si>
  <si>
    <t>HS Tiểu học</t>
  </si>
  <si>
    <t>HS Trung học CS</t>
  </si>
  <si>
    <t xml:space="preserve">Học phí hệ đại học chính quy   </t>
  </si>
  <si>
    <t>Học phí hệ vừa làm vừa học</t>
  </si>
  <si>
    <t>Học phí hệ Đào tạo từ xa</t>
  </si>
  <si>
    <t xml:space="preserve">Học phí đào tạo SĐH </t>
  </si>
  <si>
    <t>Học phí đào tạo tiến sỹ</t>
  </si>
  <si>
    <t>GV khối HC Trường đảm nhận</t>
  </si>
  <si>
    <t>Công tác thực tập, kiến tập, thực tế, rèn nghề, hoạt động khác</t>
  </si>
  <si>
    <t>Tiếp khách</t>
  </si>
  <si>
    <t>Các khoản chi khác</t>
  </si>
  <si>
    <t>Chi khác</t>
  </si>
  <si>
    <t>BỘ GIÁO DỤC VÀ ĐÀO TẠO</t>
  </si>
  <si>
    <t>Tổng các khoản chi</t>
  </si>
  <si>
    <t>Các khoản đóng góp theo lương 22% lương đóng BHXH</t>
  </si>
  <si>
    <t>Nội dung hoạt động giáo dục, đào tạo</t>
  </si>
  <si>
    <t>CÁC KHOẢN THU CỦA ĐƠN VỊ</t>
  </si>
  <si>
    <t>Lệ phí khác</t>
  </si>
  <si>
    <t>Chủ trì đề tài, dự án</t>
  </si>
  <si>
    <t xml:space="preserve">Các đề tài, dự án do các đơn vị liên hệ và Trường ký hợp đồng </t>
  </si>
  <si>
    <t xml:space="preserve">    TRƯỞNG ĐƠN VỊ</t>
  </si>
  <si>
    <t>(1)</t>
  </si>
  <si>
    <t>(2)</t>
  </si>
  <si>
    <t>(3)</t>
  </si>
  <si>
    <t>(4)</t>
  </si>
  <si>
    <t>(5)</t>
  </si>
  <si>
    <t>(6)</t>
  </si>
  <si>
    <t>(7)</t>
  </si>
  <si>
    <t>(8)</t>
  </si>
  <si>
    <t>(9)</t>
  </si>
  <si>
    <t>1.1</t>
  </si>
  <si>
    <t>(10)</t>
  </si>
  <si>
    <t>(12)</t>
  </si>
  <si>
    <t>(13)</t>
  </si>
  <si>
    <t>(14)</t>
  </si>
  <si>
    <t>(15)</t>
  </si>
  <si>
    <t>(16)</t>
  </si>
  <si>
    <t>2.1</t>
  </si>
  <si>
    <t>2.2</t>
  </si>
  <si>
    <t>2.3</t>
  </si>
  <si>
    <t>(11)</t>
  </si>
  <si>
    <t xml:space="preserve">        TRƯỜNG ĐẠI HỌC VINH</t>
  </si>
  <si>
    <t xml:space="preserve">   TRƯỜNG ĐẠI HỌC VINH</t>
  </si>
  <si>
    <t xml:space="preserve">    TRƯỜNG ĐẠI HỌC VINH</t>
  </si>
  <si>
    <t xml:space="preserve">  TRƯỜNG ĐẠI HỌC VINH</t>
  </si>
  <si>
    <t>2.4</t>
  </si>
  <si>
    <t>2.5</t>
  </si>
  <si>
    <t>2.6</t>
  </si>
  <si>
    <t>2.7</t>
  </si>
  <si>
    <t>2.8</t>
  </si>
  <si>
    <t xml:space="preserve"> B - CÁC KHOẢN CHI</t>
  </si>
  <si>
    <t>CÁC KHOẢN CHI TRỰC TIẾP TẠI ĐƠN VỊ</t>
  </si>
  <si>
    <t>Lưu ý:</t>
  </si>
  <si>
    <t>a</t>
  </si>
  <si>
    <t>b</t>
  </si>
  <si>
    <t>.- Khóa 57</t>
  </si>
  <si>
    <t>Ghi chú: - KH giảng dạy lập cho cả các lớp dự kiến tuyển mới năm học 2017-2018</t>
  </si>
  <si>
    <t>Hướng dẫn thực tế, thực tập; luận văn và đổ án TN</t>
  </si>
  <si>
    <t>Số lớp TC dự kiến mở</t>
  </si>
  <si>
    <t>Tổ BM hướng dẫn đồ án TN</t>
  </si>
  <si>
    <t>Tổ BM Hướng dẫn luận văn TN</t>
  </si>
  <si>
    <t>Tổ BM hướng dẫn khóa luận TN</t>
  </si>
  <si>
    <t>Tổ BM hướng dẫn thực tập</t>
  </si>
  <si>
    <t>Tổ BM hướng dẫn đi thực tế</t>
  </si>
  <si>
    <t>GV thỉnh giảng</t>
  </si>
  <si>
    <t>Số tiết giảng dạy quy chuẩn</t>
  </si>
  <si>
    <t>GV trong đơn vị đảm nhận</t>
  </si>
  <si>
    <t xml:space="preserve">Giảng dạy ĐH chính quy </t>
  </si>
  <si>
    <t>Đại học chính quy (gồm cả trong và ngoài Trường)</t>
  </si>
  <si>
    <t>Giảng dạy ĐH vừa làm vừa học</t>
  </si>
  <si>
    <t>Đào tạo Cao học (gồm cả trong và ngoài Trường)</t>
  </si>
  <si>
    <t xml:space="preserve">Giảng dạy Thạc sỹ </t>
  </si>
  <si>
    <t>Đào tạo Nghiên cứu sinh</t>
  </si>
  <si>
    <t>Giảng dạy Nghiên cứu sinh</t>
  </si>
  <si>
    <t>Hướng dẫn chuyên đề</t>
  </si>
  <si>
    <t>c</t>
  </si>
  <si>
    <t>Hướng dẫn Luận án</t>
  </si>
  <si>
    <t xml:space="preserve">Tên học phần hoặc chuyên đề; hướng dẫn luận văn, đồ án, luận án </t>
  </si>
  <si>
    <t>Đào tạo Thạc sỹ (gồm cả trong và ngoài Trường)</t>
  </si>
  <si>
    <t>Bộ phận hành chính khoa, viện, trường</t>
  </si>
  <si>
    <t>Đơn giá các lớp ngành KHTN, kỹ thuật, CNTT</t>
  </si>
  <si>
    <t>Đơn giá các lớp ngành KHXH, Kinh tế, Luật,..</t>
  </si>
  <si>
    <t>Đơn giá các lớp bình quân TN và XH</t>
  </si>
  <si>
    <t>HS THPT chất lượng cao</t>
  </si>
  <si>
    <t>KẾ HOẠCH GIẢNG DẠY ĐÀO TẠO NGẮN HẠN CẤP CHỨNG CHỈ</t>
  </si>
  <si>
    <t>Nội dung đào tạo</t>
  </si>
  <si>
    <t>Đào tạo tiếng Anh theo khung tham chiếu Châu Âu</t>
  </si>
  <si>
    <t>Đào tạo chứng chỉ tin học</t>
  </si>
  <si>
    <t>Đào tạo cán bộ quản lý giáo dục</t>
  </si>
  <si>
    <t>Học phí bình quân/người học</t>
  </si>
  <si>
    <t>Số lượng HV, Chứng chỉ</t>
  </si>
  <si>
    <t>KP cấp chứng chỉ/cái</t>
  </si>
  <si>
    <t>Tổng kinh phí lương, các khoản có tính chất lương chi trả hàng tháng (chưa trừ BHXH)</t>
  </si>
  <si>
    <t>Các khoản phúc lợi khác (3 tháng lương cuối năm + 1,5 tháng phúc lợi lễ, tết)</t>
  </si>
  <si>
    <t xml:space="preserve">Phòng Đào tạo </t>
  </si>
  <si>
    <t xml:space="preserve">Phòng Đào tạo Sau Đại học </t>
  </si>
  <si>
    <t xml:space="preserve">Phòng Hành chính Tổng hợp </t>
  </si>
  <si>
    <t xml:space="preserve">Phòng Khoa học và Hợp tác quốc tế </t>
  </si>
  <si>
    <t xml:space="preserve">Trung tâm Công nghệ thông tin </t>
  </si>
  <si>
    <t xml:space="preserve">Trung tâm Đảm bảo chất lượng </t>
  </si>
  <si>
    <t xml:space="preserve">Trung tâm Giáo dục Thường xuyên </t>
  </si>
  <si>
    <t xml:space="preserve">Trung tâm Nội trú </t>
  </si>
  <si>
    <t xml:space="preserve">Trung tâm Thực hành - Thí nghiệm </t>
  </si>
  <si>
    <t xml:space="preserve">Viện Công nghệ Hóa sinh - Môi trường </t>
  </si>
  <si>
    <t xml:space="preserve">Viện Kỹ thuật - Công nghệ </t>
  </si>
  <si>
    <t>Các khoản chi lương, tiền công, phụ cấp, TN tăng thêm, phúc lợi, lễ tết và các khoản đóng góp BHXH</t>
  </si>
  <si>
    <t>Chi cho chuyên môn, nghiệp vụ</t>
  </si>
  <si>
    <t>Điều hoà, máy tinh, máy phôto, sửa chữa các công trình</t>
  </si>
  <si>
    <t xml:space="preserve">Học bổng sinh viên, trợ cấp xã hội, miễn giảm học phí </t>
  </si>
  <si>
    <t>Chi Bảo hộ LĐ, sinh viên đi thực tập, thực tế; hội đồng bảo vệ, hướng dẫn luận văn, học tập kinh nghiệm, chấm thi, kinh phí quản lý cấp khoa, cấp trường, tổ chức thi olimpic, học sinh giỏi, …….</t>
  </si>
  <si>
    <t>Số TC theo chương trình đào tạo</t>
  </si>
  <si>
    <t>Hệ số TC môn học tính học phí so với TC dạy lý thuyết trên lớp</t>
  </si>
  <si>
    <t>(17)</t>
  </si>
  <si>
    <t>Tổng số lượt tín chỉ/HSSV dự kiến đảm nhận</t>
  </si>
  <si>
    <t>Số SV, HV bình quân theo học/lớp TC</t>
  </si>
  <si>
    <t>Tổng số giờ giảng dạy quy chuẩn kế hoạch đăng ký thực hiện</t>
  </si>
  <si>
    <t>Số giờ chuẩn ĐM giảng dạy phải đảm nhận theo chức danh</t>
  </si>
  <si>
    <t>Số giờ chuẩn ĐM giảng dạy phải đảm nhận đã trừ miễn giảm</t>
  </si>
  <si>
    <t>Số giờ chuẩn được miễn giảm</t>
  </si>
  <si>
    <t xml:space="preserve">Đào tạo chính quy </t>
  </si>
  <si>
    <t>Đào tạo THPT chuyên</t>
  </si>
  <si>
    <t>Đào tạo Trường THSP</t>
  </si>
  <si>
    <t>Đào tạo không chính quy</t>
  </si>
  <si>
    <t xml:space="preserve">Đào tạo Thạc sỹ </t>
  </si>
  <si>
    <t>HS</t>
  </si>
  <si>
    <t>Trẻ, HS</t>
  </si>
  <si>
    <t>HSSV</t>
  </si>
  <si>
    <t>Số lượt TC theo KH đào tạo (ĐVT)</t>
  </si>
  <si>
    <t>Học phí bình quân/1 TC (Số lượng ĐVT)</t>
  </si>
  <si>
    <t>Đào tạo chinh quy (gồm cả trong và ngoài Trường)</t>
  </si>
  <si>
    <t>Đào tạo không chính quy (gồm cả trong, ngoài Trường)</t>
  </si>
  <si>
    <t>Đào tạo ĐH vừa làm vừa học</t>
  </si>
  <si>
    <t>a.1</t>
  </si>
  <si>
    <t>a.2</t>
  </si>
  <si>
    <t>a.3</t>
  </si>
  <si>
    <t>a.4</t>
  </si>
  <si>
    <t>a.5</t>
  </si>
  <si>
    <t>a.6</t>
  </si>
  <si>
    <t>b.1</t>
  </si>
  <si>
    <t>b.2</t>
  </si>
  <si>
    <t>b.3</t>
  </si>
  <si>
    <t>b.4</t>
  </si>
  <si>
    <t>b.5</t>
  </si>
  <si>
    <t xml:space="preserve">.- Kế hoạch giảng dạy này là tổng hợp KH của khoa, viện, tổ BM. Thực tế các Tổ BM phải lập chi tiết cho từng giảng viên của Tổ bộ môn và các giảng viên ngoài Tổ BM, thỉnh giảng tham gia giảng dạy, hướng dẫn luận văn, đồ án, luận án (lập chi tiết theo Tổ BM kèm theo biểu).   </t>
  </si>
  <si>
    <r>
      <rPr>
        <b/>
        <sz val="10"/>
        <color indexed="8"/>
        <rFont val="Times New Roman"/>
        <family val="1"/>
      </rPr>
      <t>Ghi chú:</t>
    </r>
    <r>
      <rPr>
        <sz val="10"/>
        <color indexed="8"/>
        <rFont val="Times New Roman"/>
        <family val="1"/>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</si>
  <si>
    <t>Biểu số 7</t>
  </si>
  <si>
    <t>Biểu số 8</t>
  </si>
  <si>
    <t>Biểu số 9</t>
  </si>
  <si>
    <t>Biểu số 10</t>
  </si>
  <si>
    <t>Biểu số 1</t>
  </si>
  <si>
    <t>Biểu số 11</t>
  </si>
  <si>
    <t>Biểu số 12</t>
  </si>
  <si>
    <t>Giáo dục mầm non</t>
  </si>
  <si>
    <t>Giáo dục tiểu học</t>
  </si>
  <si>
    <t>Quản lý giáo dục</t>
  </si>
  <si>
    <t>Các PPĐG kết quả học tập môn Toán ở TH</t>
  </si>
  <si>
    <t>Thực hành giải toán ở tiểu học</t>
  </si>
  <si>
    <t>Phát triển chương trình giáo dục Tiểu học</t>
  </si>
  <si>
    <t>Bồi dưỡng năng lực cảm thụ văn học cho HSTH</t>
  </si>
  <si>
    <t>Thực hành giải bài tập Tiếng Việt ở tiểu học</t>
  </si>
  <si>
    <t>Thực tập sư phạm</t>
  </si>
  <si>
    <t>Thực hành phương pháp dạy học bộ môn</t>
  </si>
  <si>
    <t>Làm đồ chơi cho trẻ</t>
  </si>
  <si>
    <t>Lí luận văn học</t>
  </si>
  <si>
    <t>Văn học Việt Nam</t>
  </si>
  <si>
    <t>PPDH Tiếng Việt ở tiểu học</t>
  </si>
  <si>
    <t>Phương tiện KTDH và ƯDCNTT trong dạy học ở TH</t>
  </si>
  <si>
    <t>PPDH Tự nhiên - Xã hội</t>
  </si>
  <si>
    <t>PP tổ chức hoạt động tạo hình</t>
  </si>
  <si>
    <t>Tiếng Việt</t>
  </si>
  <si>
    <t>Kỹ thuật xây dựng văn bản hành chính thông dụng</t>
  </si>
  <si>
    <t>Toán sơ cấp</t>
  </si>
  <si>
    <t>Văn học thiếu nhi</t>
  </si>
  <si>
    <t>Ngữ dụng học</t>
  </si>
  <si>
    <t>Từ Hán Việt</t>
  </si>
  <si>
    <t>Ngữ pháp văn bản và dạy học Tập làm văn ở tiểu học</t>
  </si>
  <si>
    <t>Cơ sở ngôn ngữ học của dạy học Tiếng Việt ở tiểu học</t>
  </si>
  <si>
    <t>Cơ sở toán học của dạy học Toán ở tiểu học</t>
  </si>
  <si>
    <t>Bồi dưỡng hứng thú tiếng Việt cho học sinh tiểu học</t>
  </si>
  <si>
    <t>Một số vấn đề về phương pháp dạy học Toán tiểu học</t>
  </si>
  <si>
    <t>Phương pháp dạy học Tiếng Việt  ở tiểu học</t>
  </si>
  <si>
    <t>Cơ sở Tự nhiên xã hội 1</t>
  </si>
  <si>
    <t>Giáo dục lối sống cho HSTH</t>
  </si>
  <si>
    <t>Tổ chức hoạt động trải nghiệm sáng tạo cho HSTH</t>
  </si>
  <si>
    <t>Phương pháp dạy học Tự nhiên- Xã hội ở tiểu học</t>
  </si>
  <si>
    <t>Phương pháp dạy học Thủ công- Kỹ thuật</t>
  </si>
  <si>
    <t>Nghệ thuật tạo hình</t>
  </si>
  <si>
    <t>Giáo dục nghệ thuật cho HS tiểu học</t>
  </si>
  <si>
    <t>a.7</t>
  </si>
  <si>
    <t>a.8</t>
  </si>
  <si>
    <t>a.9</t>
  </si>
  <si>
    <t>a.10</t>
  </si>
  <si>
    <t>a.11</t>
  </si>
  <si>
    <t>Toán Cao cấp</t>
  </si>
  <si>
    <t>Phương pháp dạy học Toán ở tiểu học</t>
  </si>
  <si>
    <t>a.12</t>
  </si>
  <si>
    <t>a.13</t>
  </si>
  <si>
    <t>a.14</t>
  </si>
  <si>
    <t>a.15</t>
  </si>
  <si>
    <t>TS. Nguyễn Tiến Dũng</t>
  </si>
  <si>
    <t>Tổ bộ môn Giáo dục Tiểu học</t>
  </si>
  <si>
    <t>Hệ số lương</t>
  </si>
  <si>
    <t>Tên đơn vị: Khoa Giáo dục</t>
  </si>
  <si>
    <t>CBGD đảm nhận ĐM giờ tập sự (thử việc):0</t>
  </si>
  <si>
    <t>CBGD đảm nhận ĐM giờ giáo viên:0.</t>
  </si>
  <si>
    <t>Chu Thị Thủy An</t>
  </si>
  <si>
    <t>P. Khoa (-25%, +HDCM)</t>
  </si>
  <si>
    <t>Chu Thị Hà Thanh</t>
  </si>
  <si>
    <t>TBM (-20%, +HDCM)</t>
  </si>
  <si>
    <t>Nguyễn Tiến Dũng</t>
  </si>
  <si>
    <t>TLĐT (-15%, +HDCM)</t>
  </si>
  <si>
    <t>Phan Anh Tuấn</t>
  </si>
  <si>
    <t>Nguyễn Thị Phương Nhung B</t>
  </si>
  <si>
    <t>Nguyễn Thị Phương Nhung A</t>
  </si>
  <si>
    <t>NCS (- 70%, + NCKH)</t>
  </si>
  <si>
    <t>Nguyễn Thị Thanh Giang</t>
  </si>
  <si>
    <t>Thái Mạnh Thủy</t>
  </si>
  <si>
    <t>Nguyễn Thị Châu Giang</t>
  </si>
  <si>
    <t>PK</t>
  </si>
  <si>
    <t>TBM</t>
  </si>
  <si>
    <t>TLĐT</t>
  </si>
  <si>
    <t>Trần Thị Hoàng Yến</t>
  </si>
  <si>
    <t>Nguyễn Thị Thu Hạnh</t>
  </si>
  <si>
    <t>Phạm Thị Huyền</t>
  </si>
  <si>
    <t>Phạm Thị Hải Châu</t>
  </si>
  <si>
    <t>Trần Thị Thúy Nga</t>
  </si>
  <si>
    <t>Võ Trọng Vinh</t>
  </si>
  <si>
    <t>Lê Công Phượng</t>
  </si>
  <si>
    <t>Tổng cộng toàn tổ:</t>
  </si>
  <si>
    <t>Giảng viên Nguyễn Như An</t>
  </si>
  <si>
    <t>Giảng viên Nguyễn Thị Thu Hằng</t>
  </si>
  <si>
    <t>Giảng viên Bùi Văn Hùng</t>
  </si>
  <si>
    <t>Giảng viên Chế Thị Hải Linh</t>
  </si>
  <si>
    <t>Giảng viên Nguyễn Việt Phương</t>
  </si>
  <si>
    <t>Giảng viên Phạm Minh Hùng</t>
  </si>
  <si>
    <t>Đặng Thị Tình</t>
  </si>
  <si>
    <t>Nguyễn Thị Phương Thảo</t>
  </si>
  <si>
    <t>CVHT</t>
  </si>
  <si>
    <t>Phan Quốc Lâm</t>
  </si>
  <si>
    <t>Dương Thị Thanh Thanh</t>
  </si>
  <si>
    <t>Lê Thục Anh</t>
  </si>
  <si>
    <t>Dương Thị Linh</t>
  </si>
  <si>
    <t>Hồ Thị Hạnh</t>
  </si>
  <si>
    <t>Trần Hằng Ly</t>
  </si>
  <si>
    <t>Nguyễn Thị Hường</t>
  </si>
  <si>
    <t>Nguyễn Thị Quỳnh Anh</t>
  </si>
  <si>
    <t>Nguyễn Thị Nhân</t>
  </si>
  <si>
    <t>Nguyễn Trung Kiền</t>
  </si>
  <si>
    <t>Cán bộ hành chính 2</t>
  </si>
  <si>
    <t xml:space="preserve">          Tên đơn vị:Khoa Giáo dục</t>
  </si>
  <si>
    <t>ĐHCQ</t>
  </si>
  <si>
    <t>ĐHV</t>
  </si>
  <si>
    <t>Hoạt động của các Tổ bộ môn</t>
  </si>
  <si>
    <t>Ngành Giáo dục Mầm non</t>
  </si>
  <si>
    <t>Ngành Giáo dục TIểu học</t>
  </si>
  <si>
    <t>TT sư phạm ngành GDTH</t>
  </si>
  <si>
    <t>TrươngTH</t>
  </si>
  <si>
    <t>Bộ môn Quản lý Giáo dục</t>
  </si>
  <si>
    <t>Tổng</t>
  </si>
  <si>
    <t>Hội thi viết chữ đẹp - Giải Toán nhanh</t>
  </si>
  <si>
    <t>Toàn thể</t>
  </si>
  <si>
    <t>Chính quy</t>
  </si>
  <si>
    <t>Cán bộ văn phòng: 1</t>
  </si>
  <si>
    <t>Quản lí Sinh viên, học viên: 1</t>
  </si>
  <si>
    <t>Tổ bộ môn QLGD</t>
  </si>
  <si>
    <t>Có 6 Giảng viên, trong đó:</t>
  </si>
  <si>
    <t>GV</t>
  </si>
  <si>
    <t>Tổ bộ môn Giáo dục mầm non</t>
  </si>
  <si>
    <t>Dự kiến số lượng giảng viên nghỉ hưu: 0</t>
  </si>
  <si>
    <t>Giảng viên</t>
  </si>
  <si>
    <t>Tổ bộ môn Giáo dục học</t>
  </si>
  <si>
    <t>Tổ bộ môn Tâm lý học</t>
  </si>
  <si>
    <t>1.1.</t>
  </si>
  <si>
    <t>cái</t>
  </si>
  <si>
    <t xml:space="preserve"> </t>
  </si>
  <si>
    <t xml:space="preserve"> cái</t>
  </si>
  <si>
    <t>Số lượng</t>
  </si>
  <si>
    <t>Tổng hợp của Tổ GDTH</t>
  </si>
  <si>
    <t>Tổ bộ môn GIÁO DỤC MẦM NON</t>
  </si>
  <si>
    <t>Tự chọn 3 - K56</t>
  </si>
  <si>
    <t xml:space="preserve"> I </t>
  </si>
  <si>
    <t xml:space="preserve"> Đào tạo chinh quy (gồm cả trong và ngoài Trường) </t>
  </si>
  <si>
    <t xml:space="preserve"> Đại học chính quy </t>
  </si>
  <si>
    <t>TỔNG</t>
  </si>
  <si>
    <t xml:space="preserve"> a </t>
  </si>
  <si>
    <t>Phương pháp hình thành BT toán - K57</t>
  </si>
  <si>
    <t>Âm nhạc - K57</t>
  </si>
  <si>
    <t>PP giáo dục âm nhạc cho trẻ - K57</t>
  </si>
  <si>
    <t>Bệnh học trẻ em - K57</t>
  </si>
  <si>
    <t>Bệnh học trẻ em - K58</t>
  </si>
  <si>
    <t>Phương pháp cho trẻ LMMTXQ - K57</t>
  </si>
  <si>
    <t>Phương pháp cho trẻ LMMTXQ - K58</t>
  </si>
  <si>
    <t>Phương pháp giáo duc thể chất cho trẻ - K57</t>
  </si>
  <si>
    <t xml:space="preserve">PP cho trẻ LQTPVH - K57 </t>
  </si>
  <si>
    <t>Âm nhạc và PPGD âm nhạc - K58</t>
  </si>
  <si>
    <t xml:space="preserve">TỔNG </t>
  </si>
  <si>
    <t>TỔNG HỢP CỦA TỔ GDMN</t>
  </si>
  <si>
    <t>a.16</t>
  </si>
  <si>
    <t>a.17</t>
  </si>
  <si>
    <t>a.18</t>
  </si>
  <si>
    <t>a.19</t>
  </si>
  <si>
    <t>a.20</t>
  </si>
  <si>
    <t>a.21</t>
  </si>
  <si>
    <t>a.22</t>
  </si>
  <si>
    <t>a.23</t>
  </si>
  <si>
    <t>a.24</t>
  </si>
  <si>
    <t>a.25</t>
  </si>
  <si>
    <t>a.26</t>
  </si>
  <si>
    <t>a.27</t>
  </si>
  <si>
    <t>a.28</t>
  </si>
  <si>
    <t>a.29</t>
  </si>
  <si>
    <t>a.30</t>
  </si>
  <si>
    <t>a.31</t>
  </si>
  <si>
    <t>a.32</t>
  </si>
  <si>
    <t>GD hòa nhập HS khuyết tật K55</t>
  </si>
  <si>
    <t>Tâm lí-giáo dục học quân sự K57</t>
  </si>
  <si>
    <t>Kiến tập sư phạm</t>
  </si>
  <si>
    <t>RLNVSPTX ngành GDTH 1 (128 sv)</t>
  </si>
  <si>
    <t>Chuyên đề Xã hội học giáo dục (QLGD)</t>
  </si>
  <si>
    <t>Chuyên đề Các lý thuyết TLH dạy học hiện đại (GDHTH)</t>
  </si>
  <si>
    <t>Chuyên đề Công tác quản lý trường tiểu học (GDHTH)</t>
  </si>
  <si>
    <t>Chuyên đề Giáo dục hòa nhập trẻ khuyết tật ở trường mầm non (GDHMN)</t>
  </si>
  <si>
    <t>Chuyên đề Quản lý nguồn nhân lực trong giáo dục (QLGD)</t>
  </si>
  <si>
    <t>Chuyên đề Các lý thuyết TLH hiện đại trong giáo dục trẻ em (GDHMN)</t>
  </si>
  <si>
    <t>Chuyên đề Các lý thuyết TLH hiện đại trong QLGD (QLGD)</t>
  </si>
  <si>
    <t>C</t>
  </si>
  <si>
    <t>Tổ bộ môn TÂM LÍ HỌC</t>
  </si>
  <si>
    <t>TỔNG HỢP CỦA TỔ TÂM LÍ HỌC</t>
  </si>
  <si>
    <t>PPNCKH MN</t>
  </si>
  <si>
    <t>PPNCKH TH</t>
  </si>
  <si>
    <t>Giáo dục học  TH</t>
  </si>
  <si>
    <t>GD học MN</t>
  </si>
  <si>
    <t>PPDH TN - XH</t>
  </si>
  <si>
    <t>Tổ chức hoạt động vui chơi cho trẻ MG</t>
  </si>
  <si>
    <t>D</t>
  </si>
  <si>
    <t>Tổ bộ môn: GIÁO DỤC HỌC</t>
  </si>
  <si>
    <t>Lãnh đạo và QL sự thay đổi NT</t>
  </si>
  <si>
    <t>Một số vấn đề về dạy TN - XH Ở TH</t>
  </si>
  <si>
    <t>QL giá dục giá trị và kỹ năng sống</t>
  </si>
  <si>
    <t>Giáo dục học  TH K 57</t>
  </si>
  <si>
    <t>PPNCKH  TH</t>
  </si>
  <si>
    <t>TỎNG</t>
  </si>
  <si>
    <t>TỔNG HỢP CỦA TỔ GIÁO DỤC HỌC</t>
  </si>
  <si>
    <t>Quản lý hành chính NN và QL ngành GD&amp;ĐT</t>
  </si>
  <si>
    <t>Tổ chức, quản lý cơ sở GD</t>
  </si>
  <si>
    <t>Nhập môn ngành SP</t>
  </si>
  <si>
    <t>Phương pháp nghiên cứu KH QLGD</t>
  </si>
  <si>
    <t>QL giáo dục đại học</t>
  </si>
  <si>
    <t>Công tác QL GDMN</t>
  </si>
  <si>
    <t>Phát triển chương trình GD</t>
  </si>
  <si>
    <t>Lập KH phát triển GD</t>
  </si>
  <si>
    <t>Kinh tế học GD</t>
  </si>
  <si>
    <t>QL tổ chức HĐ DH,GD</t>
  </si>
  <si>
    <t>Các mô hình QL:GD</t>
  </si>
  <si>
    <t>Thanh tra, kiểm tra trong GD</t>
  </si>
  <si>
    <t>Quản lý tài chính, tài sản CSVC</t>
  </si>
  <si>
    <t>QLNCNN và QLGD</t>
  </si>
  <si>
    <t>Đại cương về QLGD</t>
  </si>
  <si>
    <t xml:space="preserve">Hệ thống thông tin QLGD </t>
  </si>
  <si>
    <t>Xã hội hóa GD</t>
  </si>
  <si>
    <t>Rèn luyện NVQL</t>
  </si>
  <si>
    <t>Dự báo, quy hoạch và kế hoạch chiến lược PTCSGD</t>
  </si>
  <si>
    <t>Quản lý phát triển CTGD</t>
  </si>
  <si>
    <t>Quản lý GDMN</t>
  </si>
  <si>
    <t>Phát triển chương trình GD HSTH</t>
  </si>
  <si>
    <t>PP nghiên cứu KHQLGD</t>
  </si>
  <si>
    <t>Quản lý chất lượng GD</t>
  </si>
  <si>
    <t>PPNC khoa học GDTH</t>
  </si>
  <si>
    <t>PPNC khoa học GDMN</t>
  </si>
  <si>
    <t>QLGD và QL nhà trường</t>
  </si>
  <si>
    <t>Đổi mới QLCS GD trong bối cảnh hiện nay</t>
  </si>
  <si>
    <t>Đánh giá trong GDTH</t>
  </si>
  <si>
    <t>Đổi mới đánh giá trong GDMN</t>
  </si>
  <si>
    <t>Hướng dẫn luận văn Thạc sĩ</t>
  </si>
  <si>
    <t>Nguyễn Như An (5 học viên x 35 tiết/1Hv = 175 tiết)</t>
  </si>
  <si>
    <t>Phạm Minh Hùng (5 học viên x 35 tiết/1Hv = 175 tiết)</t>
  </si>
  <si>
    <t>Nguyễn Văn Tứ (5 học viên x 35 tiết/1Hv = 175 tiết)</t>
  </si>
  <si>
    <t>Nguyễn Đình Nhâm (5 học viên x 35 tiết/1Hv = 175 tiết)</t>
  </si>
  <si>
    <t>Chuyên đề Lãnh đạo cơ sở giáo dục trong bối cảnh hiện nay</t>
  </si>
  <si>
    <t>Chuyên đề Đổi mới quản lý chất lượng giáo dục</t>
  </si>
  <si>
    <t>a3</t>
  </si>
  <si>
    <t>Chuyên đề Chính sách phát triển giáo dục thời kỳ đổi mới</t>
  </si>
  <si>
    <t>CBHD của trường</t>
  </si>
  <si>
    <t>CBHD ngoài trường</t>
  </si>
  <si>
    <t>CBHD trong trường</t>
  </si>
  <si>
    <t>TỔNG HỢP CỦA TỔ QLGD</t>
  </si>
  <si>
    <t>Bộ môn QUẢN LÍ GIÁO DỤC</t>
  </si>
  <si>
    <t>TỔNG TOÀN KHOA</t>
  </si>
  <si>
    <t>ĐH</t>
  </si>
  <si>
    <t>Thực tập tốt nghiệp</t>
  </si>
  <si>
    <t>Hoạt động khác</t>
  </si>
  <si>
    <t>Tổng I + II + III</t>
  </si>
  <si>
    <t>Biểu 12</t>
  </si>
  <si>
    <t>Hỗ trợ VH-VN, TDTT cho SV</t>
  </si>
  <si>
    <t>Hỗ trợ hoạt động SV NCKH</t>
  </si>
  <si>
    <t>Biểu 4</t>
  </si>
  <si>
    <t>Biểu 5</t>
  </si>
  <si>
    <t>Biểu 7</t>
  </si>
  <si>
    <t>TỔNG CHI</t>
  </si>
  <si>
    <t>ĐƠN VỊ: KHOA GIÁO DỤC</t>
  </si>
  <si>
    <t xml:space="preserve">Y học thể dục thể thao </t>
  </si>
  <si>
    <t>Sử dụng tác phẩm văn học trong trường MN - K24</t>
  </si>
  <si>
    <t xml:space="preserve"> Đào tạo Cao học (gồm cả trong và ngoài Trường) </t>
  </si>
  <si>
    <t xml:space="preserve"> II </t>
  </si>
  <si>
    <t xml:space="preserve"> Đào tạo không chính quy (gồm cả trong, ngoài Trường) </t>
  </si>
  <si>
    <t>Hội thi rèn nghề cấp khoa</t>
  </si>
  <si>
    <t>GDH tiểu học K58</t>
  </si>
  <si>
    <t>GDH mầm non K58</t>
  </si>
  <si>
    <t>Hướng dẫn luận văn Thạc sĩ (Cao học 24QLGD)</t>
  </si>
  <si>
    <t>Phan Quốc Lâm (5 học viên x 35 tiết/1Hv = 175 tiết)</t>
  </si>
  <si>
    <t>Nguyễn Thị Hường (5 học viên x 35 tiết/1Hv = 175 tiết)</t>
  </si>
  <si>
    <t>Lê Thục Anh (5 học viên x 35 tiết/1Hv = 175 tiết)</t>
  </si>
  <si>
    <t>Dương Thị Thanh Thanh (5 học viên x 35 tiết/1Hv = 175 tiết)</t>
  </si>
  <si>
    <t>b1</t>
  </si>
  <si>
    <t>b2</t>
  </si>
  <si>
    <t>b3</t>
  </si>
  <si>
    <t>b4</t>
  </si>
  <si>
    <t>b5</t>
  </si>
  <si>
    <t>b6</t>
  </si>
  <si>
    <t>b7</t>
  </si>
  <si>
    <t>b8</t>
  </si>
  <si>
    <t>b9</t>
  </si>
  <si>
    <t>b10</t>
  </si>
  <si>
    <t>Đơn vị tính: nghìn đồng</t>
  </si>
  <si>
    <t>Một số chuyên đề Phương pháp</t>
  </si>
  <si>
    <t>Chuyên đề - PPDH Tiếng Việt ở tiểu học</t>
  </si>
  <si>
    <t>Chuyên đề - PPDH Toán ở tiểu học</t>
  </si>
  <si>
    <t>Chuyên đề - PPDH Tự nhiên - Xã hội</t>
  </si>
  <si>
    <t>Do giáo viên trường tiểu học thực hành đảm nhân</t>
  </si>
  <si>
    <t xml:space="preserve">Tên đơn vị : KHOA GIÁO DỤC </t>
  </si>
  <si>
    <t>Lý thuyết hệ thống trong Quản lí giáo dục</t>
  </si>
  <si>
    <t>a.34</t>
  </si>
  <si>
    <t>a.35</t>
  </si>
  <si>
    <t>a.36</t>
  </si>
  <si>
    <t>CBGD đảm nhận ĐM giờ giảng viên trở lên: 6</t>
  </si>
  <si>
    <t>CVHT(-15%, +HDCM)</t>
  </si>
  <si>
    <t>Tổng số cán bộ của đơn vị: 9, trong đó:</t>
  </si>
  <si>
    <t>Cán bộ hành chính : 0</t>
  </si>
  <si>
    <t xml:space="preserve"> Đại học VLVH (gồm cả trong và ngoài Trường) </t>
  </si>
  <si>
    <t xml:space="preserve"> Đại học ĐTTX (gồm cả trong và ngoài Trường) </t>
  </si>
  <si>
    <t>ĐVT:  nghìn đồng</t>
  </si>
  <si>
    <t>Chi tiết ở Biểu 9</t>
  </si>
  <si>
    <t>Chi tiết ở Biểu 10</t>
  </si>
  <si>
    <t>CTCĐ Khoa(-10%, +HDCM)</t>
  </si>
  <si>
    <t>TRƯỞNG KHOA</t>
  </si>
  <si>
    <t>TS. NGUYỄN NGỌC HIỀN</t>
  </si>
  <si>
    <t xml:space="preserve">        TRƯỞNG KHOA</t>
  </si>
  <si>
    <t xml:space="preserve">Tổ bộ môn TÂM LÍ HỌC </t>
  </si>
  <si>
    <t>Tổ bộ môn GIÁO DỤC HỌC</t>
  </si>
  <si>
    <t>NGÀNH GIÁO DỤC MẦM NON</t>
  </si>
  <si>
    <t xml:space="preserve">NGÀNH QUẢN LÍ GIÁO DỤC </t>
  </si>
  <si>
    <t>NGÀNH GIÁO DỤC TIỂU HỌC</t>
  </si>
  <si>
    <t>TBM (-20%, +HDCM), PCTCĐ(-10%)</t>
  </si>
  <si>
    <t>Tổng số cán bộ của đơn vị: 6, trong đó:</t>
  </si>
  <si>
    <t xml:space="preserve">      Tên đơn vị: KHOA GIÁO DỤC</t>
  </si>
  <si>
    <t>K. Giáo dục</t>
  </si>
  <si>
    <t xml:space="preserve">      Tên đơn vị: Khoa Giáo dục</t>
  </si>
  <si>
    <t xml:space="preserve">          Tên đơn vị: Khoa Giáo dục</t>
  </si>
  <si>
    <t xml:space="preserve"> CTNB, điều 28-tr45</t>
  </si>
  <si>
    <t>Nguyễn Thị Nhân (5 học viên x 35 tiết/1Hv = 175 tiết)</t>
  </si>
  <si>
    <t>Khấu hao tài sản cố định</t>
  </si>
  <si>
    <t>CHÊNH LỆCH THU- CHI</t>
  </si>
  <si>
    <t>Điều 19-tr 34 CTNB</t>
  </si>
  <si>
    <t>Tổng giờ dạy của Giảng viên thỉnh giảng và hành chính là:</t>
  </si>
  <si>
    <t>Chi kết thúc học kì I và cuối năm học</t>
  </si>
  <si>
    <t xml:space="preserve">Đơn vị tính: sinh viên, học viên </t>
  </si>
  <si>
    <t>Tên đơn vị:KHOA GIÁO DỤC</t>
  </si>
  <si>
    <t>.- Khóa 58</t>
  </si>
  <si>
    <t>.-Khóa 25</t>
  </si>
  <si>
    <t>Đào tạo THPT chất lượng cao</t>
  </si>
  <si>
    <t>1.2</t>
  </si>
  <si>
    <t>VI</t>
  </si>
  <si>
    <t>Phan Huy Hà</t>
  </si>
  <si>
    <t>Giáo viên</t>
  </si>
  <si>
    <t>Văn phòng</t>
  </si>
  <si>
    <t>QL HSSV</t>
  </si>
  <si>
    <t>CBGD đảm nhận ĐM giờ giáo viên: 01</t>
  </si>
  <si>
    <t xml:space="preserve">Khoa Kinh tế </t>
  </si>
  <si>
    <t xml:space="preserve">Khoa Luật </t>
  </si>
  <si>
    <t xml:space="preserve">Trung tâm Dịch vụ, hỗ trợ sinh viên </t>
  </si>
  <si>
    <t xml:space="preserve">Viện Nông nghiệp và Tài nguyên </t>
  </si>
  <si>
    <t>Nghệ An, ngày       tháng       năm 2018</t>
  </si>
  <si>
    <t>KẾ HOẠCH ĐÀO TẠO. GIẢNG DẠY CỦA ĐƠN VỊ TRONG NĂM HỌC 2018-2019</t>
  </si>
  <si>
    <t>Đào tạo chính quy (gồm cả trong và ngoài Trường)</t>
  </si>
  <si>
    <t>Nguyễn Thị Kỳ</t>
  </si>
  <si>
    <t xml:space="preserve"> Phan Thị Quỳnh Trang</t>
  </si>
  <si>
    <t>Nghiên cứu đề xuất mô hình phối hợp giữa nhà trường, gia đình và xã hội trong chăm sóc - giáo dục trẻ ở trường mầm non đáp ứng đổi mới giáo dục</t>
  </si>
  <si>
    <t>GS.TS Thái Văn Thành</t>
  </si>
  <si>
    <t>(8)=(3x4x6)</t>
  </si>
  <si>
    <t xml:space="preserve"> Việt ngữ học cơ sở - Khóa 59</t>
  </si>
  <si>
    <t>Phương pháp phát triển ngôn ngữ - Khóa 57</t>
  </si>
  <si>
    <t>Rèn luyện NVSPTX 2 - K57</t>
  </si>
  <si>
    <t>Rèn luyện NVSPTX 3 - K57</t>
  </si>
  <si>
    <t>Rèn luyện NVSPTX 4 - K56</t>
  </si>
  <si>
    <t>Tự chọn 2 - Khóa 57</t>
  </si>
  <si>
    <t>Toán cơ sở - K58</t>
  </si>
  <si>
    <t>Ứng dụng CNTT trong GDMN - K57</t>
  </si>
  <si>
    <t>Phân tích và PT chương trình GDMN - Khóa 56</t>
  </si>
  <si>
    <t>Phương pháp hình thành biểu tượng toán - Khóa 57</t>
  </si>
  <si>
    <t>Thực hành Phương pháp GDMN - Khóa 56</t>
  </si>
  <si>
    <t>Bệnh học trẻ em - K56</t>
  </si>
  <si>
    <t>Phương pháp cho trẻ LQMTXQ - K57</t>
  </si>
  <si>
    <t>Múa - Khóa 58</t>
  </si>
  <si>
    <t>Phương pháp giáo dục thể chất cho trẻ MN - K57</t>
  </si>
  <si>
    <t>Phương pháp cho trẻ LQTPVH - K57</t>
  </si>
  <si>
    <t xml:space="preserve"> Phương pháp giáo dục âm nhạc cho trẻ MN  - K57</t>
  </si>
  <si>
    <t>Văn học thiếu nhi - K58</t>
  </si>
  <si>
    <t>Tự chọn 4 - K56</t>
  </si>
  <si>
    <t>Âm nhạc - K58</t>
  </si>
  <si>
    <t>Âm nhạc và PP DH âm nhạc - Khóa 58</t>
  </si>
  <si>
    <t>Cơ sở NNH của việc phát triển NN cho trẻ - Khóa 26</t>
  </si>
  <si>
    <t>Sự tăng trưởng và phát triển của trẻ mầm non - Khóa 26</t>
  </si>
  <si>
    <t>Một số vấn đề hiện đại về việc PTNN cho trẻ - K26</t>
  </si>
  <si>
    <t>Chăm sóc, nuôi dưỡng và đảm bảo an toàn cho trẻ MN - K26</t>
  </si>
  <si>
    <t>Phát triển tính tích cực nhận thức cho trẻ thông qua HĐLQVT - K26</t>
  </si>
  <si>
    <t>Phát triển tính tích cực vận động cho trẻ - K26</t>
  </si>
  <si>
    <t>Hướng dẫn luận văn thạc sĩ cao học 26: (6 x35)</t>
  </si>
  <si>
    <t>Tiếng Việt và Phương pháp phát triển NN - K58</t>
  </si>
  <si>
    <t>Dinh dưỡng trẻ em - K58</t>
  </si>
  <si>
    <t>Toán cơ sở - K58, K59</t>
  </si>
  <si>
    <t>Phương pháp hình thành BT toán - K58</t>
  </si>
  <si>
    <t>Âm nhạc và PP DH âm nhạc - Khóa 58, K59</t>
  </si>
  <si>
    <t>Bệnh học trẻ em - K58, K59</t>
  </si>
  <si>
    <t>Phương pháp cho trẻ LMMTXQ - K58, K59</t>
  </si>
  <si>
    <t>Phương pháp giáo duc thể chất cho trẻ - K58, K59</t>
  </si>
  <si>
    <t>Văn học và PP cho trẻ LQTPVH - K58, K59</t>
  </si>
  <si>
    <t>Múa - Khóa 58, K59</t>
  </si>
  <si>
    <t>RLNVSPTX ngành GDTH 3 (280 sv)</t>
  </si>
  <si>
    <t>Số học</t>
  </si>
  <si>
    <t>Đại lượng, đo lường và các tập hợp số</t>
  </si>
  <si>
    <t>Tổ chức hoạt động cho thiếu nhi</t>
  </si>
  <si>
    <t>RLNVSPTX ngành GDTH 4 - K56 (130 sv)</t>
  </si>
  <si>
    <t>Văn học</t>
  </si>
  <si>
    <t>Đạo đức và PPDH Đạo đức</t>
  </si>
  <si>
    <t>RLNVSPTX ngành GDTH 1 (128 SV)</t>
  </si>
  <si>
    <t>Kỹ thuật và PPDH Kỹ thuật</t>
  </si>
  <si>
    <t>Toán chuyên ngành</t>
  </si>
  <si>
    <t>Nghệ thuật tạo hình và thiết kế đồ dùng, đồ chơi cho trẻ</t>
  </si>
  <si>
    <t xml:space="preserve">Việt ngữ học cơ sở </t>
  </si>
  <si>
    <t>Việt ngữ học hiện đại</t>
  </si>
  <si>
    <t xml:space="preserve">Cơ sở Tự nhiên Xã hội </t>
  </si>
  <si>
    <t xml:space="preserve">Toán cơ sở </t>
  </si>
  <si>
    <t>a33</t>
  </si>
  <si>
    <t>Công tác đội thiếu niên TP HCM và Tổ chức HĐ ngoài giờ lên lớp</t>
  </si>
  <si>
    <t>a34</t>
  </si>
  <si>
    <t xml:space="preserve">PPDH Toán ở tiểu học </t>
  </si>
  <si>
    <t>a35</t>
  </si>
  <si>
    <t>a36</t>
  </si>
  <si>
    <t>a37</t>
  </si>
  <si>
    <t>a38</t>
  </si>
  <si>
    <t>RLNVSPTX ngành GDTH 4 - K57 (283 sv)</t>
  </si>
  <si>
    <t>a.39</t>
  </si>
  <si>
    <t>Hướng dẫn luận văn thạc sĩ cao học 25 (11x35tiết)</t>
  </si>
  <si>
    <t>TS. Chu Thị Hà Thanh</t>
  </si>
  <si>
    <t>TS. Nguyễn Thị Châu Giang</t>
  </si>
  <si>
    <t>TS. Bùi Văn Hùng</t>
  </si>
  <si>
    <t>TS. Nguyễn Thị Thu Hằng</t>
  </si>
  <si>
    <t>1,3</t>
  </si>
  <si>
    <t>Thái Văn Thành (7 học viên x 35 tiết/1Hv = 175 tiết)</t>
  </si>
  <si>
    <t>b11</t>
  </si>
  <si>
    <t>Nguyễn Thị Châu Giang (5 học viên x 35 tiết/1Hv = 175 tiết)</t>
  </si>
  <si>
    <t>b12</t>
  </si>
  <si>
    <t>Phạm THị Phú (2 học viên x 35 tiết/1Hv = 175 tiết)</t>
  </si>
  <si>
    <t>b13</t>
  </si>
  <si>
    <t>Tràn Viết Thụ (2 học viên x 35 tiết/1Hv = 175 tiết)</t>
  </si>
  <si>
    <t>Thỉnh giảng (58 học viên x 35 tiết)</t>
  </si>
  <si>
    <t>Dự kiến có 8 NCS thực hiện chuyên đề và tiểu luận tổng quan</t>
  </si>
  <si>
    <t>8 x 3 (chuyên đề) x 60 tiết/1 chuyên đề = 1440 tiết</t>
  </si>
  <si>
    <t>32 NCS x 50 tiết/1 NCS = 1600 tiết</t>
  </si>
  <si>
    <t xml:space="preserve">Quản lý GDTH </t>
  </si>
  <si>
    <t>Quản lý GDMN (khóa 57, sau TN Trung cấp)</t>
  </si>
  <si>
    <t>Quản lý GDMN (khóa 58, sau TN Cao đẳng)</t>
  </si>
  <si>
    <t>Tâm lí học K59</t>
  </si>
  <si>
    <t>Tâm lí học đại cương K59</t>
  </si>
  <si>
    <t>Tâm lí học giáo dục trẻ em K58</t>
  </si>
  <si>
    <t>Tâm lý học thể dục thể thao K57</t>
  </si>
  <si>
    <t>Phát triển nguồn nhân lực là quản lý nhân sự trong giáo dục K56</t>
  </si>
  <si>
    <t>Chuẩn bị cho trẻ vào lớp 1 K58</t>
  </si>
  <si>
    <t>Giao tiếp sư phạm trong trường mầm non K58</t>
  </si>
  <si>
    <t>Tâm lí học tiểu học K59</t>
  </si>
  <si>
    <t>Tâm lí học mầm non K59</t>
  </si>
  <si>
    <t>Giáo dục học Khóa 58</t>
  </si>
  <si>
    <t xml:space="preserve">PPNCKH MN </t>
  </si>
  <si>
    <t>a6</t>
  </si>
  <si>
    <t>Giao dục hòa nhập cho trẻ MN mầm non K56</t>
  </si>
  <si>
    <t>a7</t>
  </si>
  <si>
    <t>Đánh giá trong GD khóa 58</t>
  </si>
  <si>
    <t>Một số vấn đề của GD TH hiện đại</t>
  </si>
  <si>
    <t>Hướng dẫn luận văn Thạc sĩ (25 QLGD)</t>
  </si>
  <si>
    <t>GD học MN K 58</t>
  </si>
  <si>
    <t>Học phần thực hành</t>
  </si>
  <si>
    <t>PLuc8-k4-tr119</t>
  </si>
  <si>
    <t>Hướng dẫn luận văn thạc sĩ cao học 25 (8x35tiết)</t>
  </si>
  <si>
    <t>35t/luận văn-QC1585</t>
  </si>
  <si>
    <t>Tổng toàn Tổ GDTH</t>
  </si>
  <si>
    <t>Tổng toàn Tổ GDMN</t>
  </si>
  <si>
    <t>Tổng giờ tổ TLH</t>
  </si>
  <si>
    <t>Tổng giờ tổ GDH</t>
  </si>
  <si>
    <t>Tổ BM hướng dẫn khóa luận TN (21 sinh viên)</t>
  </si>
  <si>
    <t>1CĐ=60tiết chuẩn</t>
  </si>
  <si>
    <t>31 NCS x 50 tiết/1 NCS = 1550 tiết</t>
  </si>
  <si>
    <t>Tổng giờ QLGD</t>
  </si>
  <si>
    <t>Ghi chú: - KH giảng dạy lập cho cả các lớp dự kiến tuyển mới năm học 2018-2019</t>
  </si>
  <si>
    <t>&gt;1000SV, QC CTNB-tr56</t>
  </si>
  <si>
    <t>Biểu 2 (GV dạy thạc sĩ)</t>
  </si>
  <si>
    <t>PGS. TS. Chu Thị Thủy An</t>
  </si>
  <si>
    <t>TS. Nguyễn Thị Phương Nhung A</t>
  </si>
  <si>
    <t>CN. Nguyễn Thị Thanh Giang</t>
  </si>
  <si>
    <t>ThS. Thái Mạnh Thủy</t>
  </si>
  <si>
    <t>ThS. Nguyễn Thị Phương Nhung B</t>
  </si>
  <si>
    <t>ThS. Phan Anh Tuấn</t>
  </si>
  <si>
    <t>ThS. Nguyễn Thị Thanh Giang</t>
  </si>
  <si>
    <t>TS. Nguyễn Thị Phương Nhung B</t>
  </si>
  <si>
    <t>TS. Trần Thị Hoàng Yến</t>
  </si>
  <si>
    <t>ThS. Nguyễn Thị Thu Hạnh</t>
  </si>
  <si>
    <t>BS. Lê Công Phượng</t>
  </si>
  <si>
    <t>ThS. Phạm Thị Hải Châu</t>
  </si>
  <si>
    <t>ThS. Phạm Thị Huyền</t>
  </si>
  <si>
    <t>TS. Nguyễn Ngọc Hiền</t>
  </si>
  <si>
    <t>ThS. Trần Thị Thúy Nga</t>
  </si>
  <si>
    <t>CN. Phan Huy Hà</t>
  </si>
  <si>
    <t>ThS. Võ Trọng Vinh</t>
  </si>
  <si>
    <t>ThS. Nguyễn Thị Kỳ</t>
  </si>
  <si>
    <t>ThS. Võ Trọng Vinh. ThS. Phan Huy Hà</t>
  </si>
  <si>
    <t>TS. Dương Thị Thanh Thanh</t>
  </si>
  <si>
    <t>TS. Le Thục Anh</t>
  </si>
  <si>
    <t>ThS. Dương Thị Linh</t>
  </si>
  <si>
    <t>TS. Phan Quốc Lâm</t>
  </si>
  <si>
    <t>CN. Trần Hằng Ly</t>
  </si>
  <si>
    <t>ThS. Hồ Thị Hạnh</t>
  </si>
  <si>
    <t>Cả tổ đều tham gia giảng dạy</t>
  </si>
  <si>
    <t>PGS. TS. Nguyễn Thị Hường</t>
  </si>
  <si>
    <t>ThS. Nguyễn Thị Quỳnh Anh</t>
  </si>
  <si>
    <t>ThS. Chu Trọng Tuấn</t>
  </si>
  <si>
    <t>ThS. Nguyễn Trung Kiền</t>
  </si>
  <si>
    <t>TS. Nguyễn Thị Nhân</t>
  </si>
  <si>
    <t>PGS. TS. Nguyễn Như An</t>
  </si>
  <si>
    <t>PGS. TS. Phạm Minh Hùng</t>
  </si>
  <si>
    <t>ThS. Nguyễn Việt Phương</t>
  </si>
  <si>
    <t>ThS. Chế Thị Hải Linh</t>
  </si>
  <si>
    <t>Tên học phần tương ứng</t>
  </si>
  <si>
    <t>Mã HP</t>
  </si>
  <si>
    <t>Số TC</t>
  </si>
  <si>
    <t>Bồi dưỡng thăng hạng Giảng viên</t>
  </si>
  <si>
    <t>Bồi dưỡng Trung cấp lí luận chính trị</t>
  </si>
  <si>
    <t>Hội thi NVSP ngành GDTH, GDMN</t>
  </si>
  <si>
    <t xml:space="preserve">THỐNG KÊ SỐ LƯỢNG SINH VIÊN CHÍNH QUY TẠI TRƯỜNG </t>
  </si>
  <si>
    <t>Đơn vị tính: sinh viên</t>
  </si>
  <si>
    <t>.- Khóa 59</t>
  </si>
  <si>
    <t>.- Khóa 56 (kỹ sư)</t>
  </si>
  <si>
    <t>Số SV DK tuyển mới năm học 2019-2020</t>
  </si>
  <si>
    <t>.-Khóa 26</t>
  </si>
  <si>
    <t>(Tương tự như Đào tạo THPT chuyên, chi tiết đến bậc học từ trẻ nhà trẻ đến mầm non)</t>
  </si>
  <si>
    <t xml:space="preserve">Đại học vừa làm vừa học </t>
  </si>
  <si>
    <t>.- Khóa 56 về trước</t>
  </si>
  <si>
    <t>TS. PHẠM LÊ CƯỜNG</t>
  </si>
  <si>
    <t>KẾ HOẠCH ĐÀO TẠO. GIẢNG DẠY CỦA ĐƠN VỊ TRONG NĂM HỌC 2019-2020</t>
  </si>
  <si>
    <t>(6)=(9)+ (10)+(11)</t>
  </si>
  <si>
    <t>(8)=(3x5x7)</t>
  </si>
  <si>
    <t>(09)=(3)x(5)x 16.5</t>
  </si>
  <si>
    <t xml:space="preserve"> - Tại cột (9),(10),(11): tùy thuộc vào giảng viên đảm nhiệm là GV trong đơn vị, khối hành chính và GV thỉnh giảng, lưu ý hệ số lớp đồng nhận thêm 1.3 đối với lớp trên 70 sinh viên</t>
  </si>
  <si>
    <t xml:space="preserve"> - Đối với giảng viên không thuộc tổ nhưng thuộc đơn vị thì vẫn ghi ở cột số (9)</t>
  </si>
  <si>
    <t xml:space="preserve"> - Các chỉ tiêu từ cột (12) -(16) thì lấy từ biểu 3</t>
  </si>
  <si>
    <t xml:space="preserve"> - Việc tổng hợp toàn khoa, viện phải được tổng hợp cả theo từng loại hình đào tạo; các chi tiểu (6),(8),(9),(10),(11),(12),(13),(14),(15),(16) cần được tổng hợp theo khoa</t>
  </si>
  <si>
    <t>Giá đựng tài liệu đặt bàn</t>
  </si>
  <si>
    <t>Phòng sinh hoạt bộ môn</t>
  </si>
  <si>
    <t>phòng</t>
  </si>
  <si>
    <t>Bộ môn GDTH</t>
  </si>
  <si>
    <t>Phòng học thực hành cho CTĐT CDIO</t>
  </si>
  <si>
    <t>Máy chiếu Projector</t>
  </si>
  <si>
    <t>Dùng cho phòng sinh hoạt bộ môn GDTH</t>
  </si>
  <si>
    <t>Tài liệu giáo trình</t>
  </si>
  <si>
    <t>Bộ SGK Lớp 1 CTGDPT mới</t>
  </si>
  <si>
    <t>cuốn</t>
  </si>
  <si>
    <t>Tài liệu tập huấn Bồi dưỡng GV phổ thông dạy học Chương trình GDPT mới</t>
  </si>
  <si>
    <t>Văn phòng phẩm</t>
  </si>
  <si>
    <t>Theo QC CTNB</t>
  </si>
  <si>
    <t>Giá</t>
  </si>
  <si>
    <t>1</t>
  </si>
  <si>
    <t>Bộ</t>
  </si>
  <si>
    <t>100</t>
  </si>
  <si>
    <t>Giải pháp nâng cao năng lực của giáo viên  về giáo dục giới tính cho học sinh tiểu học và THCS</t>
  </si>
  <si>
    <t>Nguyễn Thị Phương Nhung</t>
  </si>
  <si>
    <t>Sinh viên, học viên Nghiên cứu khoa học</t>
  </si>
  <si>
    <t>Các đề tài cấp trường</t>
  </si>
  <si>
    <t>Tên giáo trình/tài liệu học tập 
đăng ký biên soạn, xuất bản</t>
  </si>
  <si>
    <t>Hệ ĐT
ĐH/SĐH</t>
  </si>
  <si>
    <t>Đại học</t>
  </si>
  <si>
    <t>Tâm lí học đại cương K60</t>
  </si>
  <si>
    <t>Giao tiếp sư phạm trong trường mầm non K59</t>
  </si>
  <si>
    <t>Giảng viên Phạm Lê Cường</t>
  </si>
  <si>
    <t>TK</t>
  </si>
  <si>
    <t>Cán bộ giảng dạy: 7, gồm:</t>
  </si>
  <si>
    <t>PCTCD</t>
  </si>
  <si>
    <t>Trưởng khoa (-30%)</t>
  </si>
  <si>
    <t>Phó CTCĐ KHoa (-10%)</t>
  </si>
  <si>
    <t>TLĐT(-15%, +HDCM)</t>
  </si>
  <si>
    <t>CTCD</t>
  </si>
  <si>
    <t>CVHT (-15%)</t>
  </si>
  <si>
    <t>Hướng dẫn luận văn Thạc sĩ (Cao học 26QLGD)</t>
  </si>
  <si>
    <t>Quản lý GDMN (sau TN Trung cấp)</t>
  </si>
  <si>
    <t>Quản lý GDMN ( sau TN Cao đẳng)</t>
  </si>
  <si>
    <t>Rèn luyện nghiệp vụ quản lý</t>
  </si>
  <si>
    <t>Thực hành, thực tế chuyên môn</t>
  </si>
  <si>
    <t xml:space="preserve">Thực tập sư phạm ngành GDMN </t>
  </si>
  <si>
    <t>8 trường</t>
  </si>
  <si>
    <t>CTHSVT</t>
  </si>
  <si>
    <t>Tổng số cán bộ của đơn vị: 10, trong đó:</t>
  </si>
  <si>
    <t>CBGD đảm nhận ĐM giờ giảng viên trở lên: 10….</t>
  </si>
  <si>
    <t xml:space="preserve"> Việt ngữ học cơ sở </t>
  </si>
  <si>
    <t xml:space="preserve">Bệnh học trẻ em </t>
  </si>
  <si>
    <t xml:space="preserve">Phân tích và PT chương trình GDMN </t>
  </si>
  <si>
    <t xml:space="preserve">Múa </t>
  </si>
  <si>
    <t xml:space="preserve">Văn học thiếu nhi </t>
  </si>
  <si>
    <t xml:space="preserve">Âm nhạc </t>
  </si>
  <si>
    <t xml:space="preserve">Âm nhạc và PP DH âm nhạc </t>
  </si>
  <si>
    <t>Cơ sở NNH của việc phát triển NN cho trẻ - Khóa 27</t>
  </si>
  <si>
    <t>Sự tăng trưởng và phát triển của trẻ mầm non - khóa 27</t>
  </si>
  <si>
    <t>Một số vấn đề hiện đại về việc PTNN cho trẻ - K27</t>
  </si>
  <si>
    <t>Chăm sóc, nuôi dưỡng và đảm bảo an toàn cho trẻ MN - K27</t>
  </si>
  <si>
    <t>Sử dụng tác phẩm văn học trong trường MN - K27</t>
  </si>
  <si>
    <t>Phát triển tính tích cực nhận thức cho trẻ thông qua HĐLQVT - K27</t>
  </si>
  <si>
    <t>Phát triển tính tích cực vận động cho trẻ - K27</t>
  </si>
  <si>
    <t>Công tác đội TNTP HCM và tổ chức HĐ ngoài giờ lên lớp</t>
  </si>
  <si>
    <t>Kỹ thuật và PPDH kỹ thuật ở tiểu học</t>
  </si>
  <si>
    <t xml:space="preserve">Thực hành phương pháp dạy học bộ môn </t>
  </si>
  <si>
    <t>Đạo đức và phương pháp dạy học đạo đức</t>
  </si>
  <si>
    <t>Giáo dục sức khỏe</t>
  </si>
  <si>
    <t xml:space="preserve">Phương pháp dạy học Tiếng Việt </t>
  </si>
  <si>
    <t xml:space="preserve">Tổ chức hoạt động trải nghiệm sáng tạo </t>
  </si>
  <si>
    <t>Từ Hán - Việt</t>
  </si>
  <si>
    <t xml:space="preserve">Âm nhạc và phương pháp dạy học Âm nhạc </t>
  </si>
  <si>
    <t xml:space="preserve">Phương pháp dạy học Toán </t>
  </si>
  <si>
    <t xml:space="preserve">Phương pháp dạy học Tự nhiên - Xã hội </t>
  </si>
  <si>
    <t>Rèn luyện nghiệp vụ sư phạm 2</t>
  </si>
  <si>
    <t>Toán cơ sở</t>
  </si>
  <si>
    <t>Hình học sơ cấp</t>
  </si>
  <si>
    <t>Đại số sơ cấp</t>
  </si>
  <si>
    <t>Rèn luyện nghiệp vụ sư phạm 1</t>
  </si>
  <si>
    <t xml:space="preserve">Văn học </t>
  </si>
  <si>
    <t xml:space="preserve">Cơ sở tự nhiên xã hội </t>
  </si>
  <si>
    <t xml:space="preserve">Cơ sở Tự nhiên xã hội </t>
  </si>
  <si>
    <t>Trường TH</t>
  </si>
  <si>
    <r>
      <t xml:space="preserve">Ghi chú: </t>
    </r>
    <r>
      <rPr>
        <sz val="11"/>
        <rFont val="Times New Roman"/>
        <family val="1"/>
      </rPr>
      <t>Các nội dung hoạt động đào tạo đề nghị Nhà trường cấp kinh phí phải căn cứ Quy chế CTNB để lập dự toán thuyết minh chi tiết kèm theo của từng hoạt động, như: kiến tập, thực tập sư phạm hoặc thực tập nghề; Thực hành - Thí nghiệm; đi thực tế của sinh viên; ....Các đơn vị phải lập dự toán chi tiết kèm theo cho từng hoạt động và xếp theo thứ tự ưu tiên về sự cần thiết, bắt buộc phải thực hiện theo chương trình đào tạo</t>
    </r>
  </si>
  <si>
    <t>Có 1 giảng viên đi học, cụ thể:</t>
  </si>
  <si>
    <t>NCS không tập trung trong nước (12/2019-12/2022)</t>
  </si>
  <si>
    <t>CVHT (-15%, +HĐCM)</t>
  </si>
  <si>
    <t>1. Đào tạo ngoài trường nhân với hệ số 0.65; đối với các khoa, viện tự tổ chức thì nhân hệ số 0.30</t>
  </si>
  <si>
    <t>2. TT GDTX tổng hợp kinh phí của các hội đồng tổ chức thi do Tổ Đào tạo và VP. Đại diện Thanh Hóa trên mục thu của mình</t>
  </si>
  <si>
    <t>CBGD đảm nhận ĐM giờ tập sự (thử việc): 0</t>
  </si>
  <si>
    <r>
      <rPr>
        <b/>
        <sz val="12"/>
        <color indexed="8"/>
        <rFont val="Times New Roman"/>
        <family val="1"/>
      </rPr>
      <t>Ghi chú:</t>
    </r>
    <r>
      <rPr>
        <sz val="12"/>
        <color indexed="8"/>
        <rFont val="Times New Roman"/>
        <family val="1"/>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</si>
  <si>
    <t>TS. PHAM LÊ CƯỜNG</t>
  </si>
  <si>
    <t xml:space="preserve">Phòng Thanh tra - Pháp chế </t>
  </si>
  <si>
    <t>Các khoản hỗ trợ đi học tiến sỹ, đào tạo ngắn hạn</t>
  </si>
  <si>
    <t>EDU20027</t>
  </si>
  <si>
    <t>Bồi dưỡng CBQL giáo dục và bồi dưỡng cấp chứng chỉ NVSP</t>
  </si>
  <si>
    <t>Khoa tổ chức</t>
  </si>
  <si>
    <t>Tư vấn học đường</t>
  </si>
  <si>
    <t>Chi các khoản liên quan đến đào tạo, bồi dưỡng và cấp chứng chỉ</t>
  </si>
  <si>
    <t>Dự kiến số lượng tuyển mới:     01</t>
  </si>
  <si>
    <t>Mời thỉnh giảng: 01</t>
  </si>
  <si>
    <t>.- Khóa 57 về trước</t>
  </si>
  <si>
    <t>.- Khóa 60</t>
  </si>
  <si>
    <r>
      <t xml:space="preserve">Tổng cộng số SV, HV có mặt NH </t>
    </r>
    <r>
      <rPr>
        <sz val="10"/>
        <color theme="1"/>
        <rFont val="Times New Roman"/>
        <family val="1"/>
      </rPr>
      <t>2019-2020</t>
    </r>
    <r>
      <rPr>
        <b/>
        <sz val="10"/>
        <color theme="1"/>
        <rFont val="Times New Roman"/>
        <family val="1"/>
      </rPr>
      <t xml:space="preserve"> (Tổng HSSV tất cả các bậc, hình thức đào tạo: A+B)</t>
    </r>
  </si>
  <si>
    <t>Khóa 27</t>
  </si>
  <si>
    <t>Số SV DK tuyển mới năm học 2020-2021</t>
  </si>
  <si>
    <t>Số HV có mặt đến ngày 01/8/2020, gồm:</t>
  </si>
  <si>
    <t>.- Khóa 27 về trước (không tính số K26 BV năm 2020)</t>
  </si>
  <si>
    <t>.- Khóa 28</t>
  </si>
  <si>
    <t>Số HV DK tuyển mới năm học 2020-2021</t>
  </si>
  <si>
    <t>Số học viên ra trường trong năm học 2020-2021</t>
  </si>
  <si>
    <t>Số NCS có mặt đến ngày 01/8/2020, gồm:</t>
  </si>
  <si>
    <t>.-Khóa 24 về trước</t>
  </si>
  <si>
    <t>.-Khóa 27</t>
  </si>
  <si>
    <t>KẾ HOẠCH TUYỂN SINH NĂM HỌC 2020-2021</t>
  </si>
  <si>
    <t>Số SV có mặt đến ngày 01/8/2020, gồm:</t>
  </si>
  <si>
    <t>Số học sinh có mặt đến ngày 01/8/2020, gồm:</t>
  </si>
  <si>
    <t>.-Khóa 53 (Lớp 12)</t>
  </si>
  <si>
    <t>.-Khóa 54 (Lớp 11)</t>
  </si>
  <si>
    <t>Số học sinh tuyển mới năm học 2020-2021</t>
  </si>
  <si>
    <t>Tổng cộng số SV, HV có mặt NH 2020-2021 (Tổng HSSV tất cả các bậc, hình thức đào tạo: A+B)</t>
  </si>
  <si>
    <t xml:space="preserve">.- Khóa 61 </t>
  </si>
  <si>
    <t>Kỹ thuật dạy học và ứng dụng CNTT trong dạy học</t>
  </si>
  <si>
    <t>Phương pháp DH Thể dục và tổ chức trò chơi vận động cho học sinh</t>
  </si>
  <si>
    <t>Bồi dưỡng năng lực cảm thụ văn học và tư duy toán học cho học sinh</t>
  </si>
  <si>
    <t xml:space="preserve"> Công tác chủ nhiệm lớp và Sinh hoạt tổ chuyên môn trong trường tiểu học</t>
  </si>
  <si>
    <t>Số SV DK tuyển mới năm học 2020-2021 (tính cả VB2)</t>
  </si>
  <si>
    <t>Hướng dẫn luận văn thạc sĩ cao học 27 (15x35)</t>
  </si>
  <si>
    <t>Phương pháp dạy học Tin học và Công nghệ</t>
  </si>
  <si>
    <t>PPDH Mỹ thuật</t>
  </si>
  <si>
    <t>PPDH Âm nhạc</t>
  </si>
  <si>
    <t>Nghệ An, ngày ….. tháng ….. năm 2020</t>
  </si>
  <si>
    <t>58TH</t>
  </si>
  <si>
    <t>58, 59, 60 TH</t>
  </si>
  <si>
    <t>Có 9 Giảng viên, trong đó: 01 PGS. TS: 05 TS; 03 ThS.</t>
  </si>
  <si>
    <t>Dự kiến số lượng giảng viên nghỉ hưu: 01</t>
  </si>
  <si>
    <t>TỔNG HP SỐ GIỜ QUY CHUẨN TỔ GIÁO DỤC HỌC PHẢI ĐẢM NHẬN GIẢNG DẠY NĂM HỌC 2020-2021</t>
  </si>
  <si>
    <t>Có 01 giảng viên đi học, cụ thể:</t>
  </si>
  <si>
    <t>CÔNG TÁC TỔ CHỨC CÁN BỘ VÀ KẾ HOẠCH HỌC TẬP, BỒI DƯỠNG NĂM HỌC 2020-2021</t>
  </si>
  <si>
    <t>Nghiên cứu biện pháp quản lí hoạt động xây dựng văn hóa nhà trường ở trường Đại học Vinh</t>
  </si>
  <si>
    <t xml:space="preserve"> BT LCĐ (-20%), Chủ tịch HSV Trường(-60%)</t>
  </si>
  <si>
    <t>Tiếng Việt và Phương pháp phát triển NN - K59, 60,61</t>
  </si>
  <si>
    <t>Dinh dưỡng trẻ em -  60,61</t>
  </si>
  <si>
    <t>Toán cơ sở - K60, 61</t>
  </si>
  <si>
    <t>Phương pháp hình thành BT toán - K60, 61</t>
  </si>
  <si>
    <t>Âm nhạc và PP DH âm nhạc - Khóa K60, 61</t>
  </si>
  <si>
    <t>Bệnh học trẻ em - K60,61</t>
  </si>
  <si>
    <t>Phương pháp cho trẻ LMMTXQ -  K60, 61</t>
  </si>
  <si>
    <t>Phương pháp giáo duc thể chất cho trẻ - K60,61</t>
  </si>
  <si>
    <t>Văn học và PP cho trẻ LQTPVH - K60, 61</t>
  </si>
  <si>
    <t>Múa - Khóa K60, 61</t>
  </si>
  <si>
    <t xml:space="preserve">Phương pháp phát triển ngôn ngữ </t>
  </si>
  <si>
    <t xml:space="preserve">Phương pháp hình thành biểu tượng toán </t>
  </si>
  <si>
    <t xml:space="preserve">Phương pháp cho trẻ LQMTXQ </t>
  </si>
  <si>
    <t>Phương pháp cho trẻ LQTPVH</t>
  </si>
  <si>
    <t xml:space="preserve"> Phương pháp giáo dục âm nhạc cho trẻ MN  </t>
  </si>
  <si>
    <t>Hướng dẫn luận văn thạc sĩ cao học 27: (43 x35)</t>
  </si>
  <si>
    <t>K58</t>
  </si>
  <si>
    <t>K58, 59</t>
  </si>
  <si>
    <t>THSP ĐH Vinh và MN8 VL</t>
  </si>
  <si>
    <t>Dây nguồn Đàn</t>
  </si>
  <si>
    <t>Nghệ An, ngày      tháng      năm 2020</t>
  </si>
  <si>
    <t>BẢNG TỔNG HỢP TÀI SẢN, CÔNG CỤ, DỤNG CỤ ĐỀ NGHỊ NHÀ TRƯỜNG MUA SẮM NĂM HỌC 2020-2021</t>
  </si>
  <si>
    <t>Có 0 giảng viên đi học:</t>
  </si>
  <si>
    <t>Tâm lí học K61</t>
  </si>
  <si>
    <t>Tâm lí học giáo dục trẻ em K60</t>
  </si>
  <si>
    <t>Tâm lý học thể dục thể thao K59</t>
  </si>
  <si>
    <t>Nhân cách và lao động của người cán bộ quản lý K60</t>
  </si>
  <si>
    <t>Tâm lí-giáo dục học quân sự K59</t>
  </si>
  <si>
    <t>Giao tiếp sư phạm k60</t>
  </si>
  <si>
    <t>Tâm lý học quản lý K60</t>
  </si>
  <si>
    <t>Chuẩn bị cho trẻ vào lớp 1 K60</t>
  </si>
  <si>
    <t>Giao tiếp sư phạm trong trường mầm non K60</t>
  </si>
  <si>
    <t>Kiến tập sư phạm K59</t>
  </si>
  <si>
    <t>RLNVSPTX ngành GDTH 1 K60</t>
  </si>
  <si>
    <t>Tâm lí học tiểu học K60, K61</t>
  </si>
  <si>
    <t>Tâm lí học mầm non K60, K61</t>
  </si>
  <si>
    <t>Nghệ An, ngày    tháng     năm 2020</t>
  </si>
  <si>
    <t>Thỉnh giảng (75 học viên x 35 tiết)</t>
  </si>
  <si>
    <t>27 NCS x 50 tiết/1 NCS = 1350 tiết</t>
  </si>
  <si>
    <t>Ghi chú: - KH giảng dạy lập cho cả các lớp dự kiến tuyển mới năm học 2020-2021</t>
  </si>
  <si>
    <t>TỔNG HỢP SỐ GIỜ QUY CHUẨN NGÀNH GDMN PHẢI ĐẢM NHẬN GIẢNG DẠY NĂM HỌC 2020-2021</t>
  </si>
  <si>
    <t>TỔNG HỢP SỐ GIỜ QUY CHUẨN TỔ QUẢN LÝ GIÁO DỤC PHẢI ĐẢM NHẬN GIẢNG DẠY NĂM HỌC 2020-2021</t>
  </si>
  <si>
    <t>TỔNG HỢP SỐ GIỜ QUY CHUẨN TỔ TÂM LÝ HỌC PHẢI ĐẢM NHẬN GIẢNG DẠY NĂM HỌC 2020-2021</t>
  </si>
  <si>
    <t>TỔNG HỢP SỐ GIỜ QUY CHUẨN ĐƠN VỊ PHẢI ĐẢM NHẬN GIẢNG DẠY NĂM HỌC 2020-2021</t>
  </si>
  <si>
    <t>KẾ HOẠCH ĐÀO TẠO. GIẢNG DẠY CỦA ĐƠN VỊ TRONG NĂM HỌC 2020-2021</t>
  </si>
  <si>
    <t>Nghệ An, ngày       tháng       năm 2020</t>
  </si>
  <si>
    <t>TỔNG HỢP SỐ GIỜ QUY CHUẨN NGÀNH GIÁO DỤC TIỂU HỌC PHẢI ĐẢM NHẬN GIẢNG DẠY NĂM HỌC 2020-2021</t>
  </si>
  <si>
    <t>Có 7 Giảng viên, trong đó:</t>
  </si>
  <si>
    <t>5 giảng viên đào tạo thăng hạng giảng viên hạng II</t>
  </si>
  <si>
    <t>KẾ HOẠCH ĐĂNG KÝ NGHIÊN CỨU KHOA HỌC NĂM HỌC 2020-2021</t>
  </si>
  <si>
    <t>Máy tính để bàn (Trợ lý Đảm bảo chất lượng)</t>
  </si>
  <si>
    <t>Có 10 Giảng viên, trong đó: 2 TS, 2 NCS, 1 bác sỹ, 5 Thạc sỹ.</t>
  </si>
  <si>
    <t>Giảng dạy môn PPDH Tự nhiên xã hội</t>
  </si>
  <si>
    <t>4.2</t>
  </si>
  <si>
    <t>Giảng dạy môn Tiếng Việt</t>
  </si>
  <si>
    <t>4.3</t>
  </si>
  <si>
    <t>Giảng dạy môn Nghệ Thuật</t>
  </si>
  <si>
    <t>Dự kiến số lượng tuyển mới: 03</t>
  </si>
  <si>
    <t>Dự kiến số lượng tuyển mới: 02</t>
  </si>
  <si>
    <t>Nghệ An, ngày     tháng     năm 2020</t>
  </si>
  <si>
    <r>
      <t xml:space="preserve">Ghi chú: </t>
    </r>
    <r>
      <rPr>
        <sz val="10"/>
        <color indexed="8"/>
        <rFont val="Times New Roman"/>
        <family val="1"/>
      </rPr>
      <t>Các nội dung mua sắm phải có dự toán thuyết minh chi tiết kèm theo, trong đó nêu rõ sự cần thiết phải mua sắm. 
- Đối với việc lập dự trù mua sắm các thiết bị THTN, các khoa viện trao đổi với TT THTN để lên dự toán phù hợp.
- Đối với việc lập dự trù giáo trình theo CDIO, các khoa, viện trao đổi với Phòng Đào tạo, TT Thư viện để lên dự toán cho phù hợp
- Đối với các bảo dưỡng, bảo trì lớn, các đơn vị đầu mối trực tiếp lên dự trù như TT THTN, TT CNTT, Phòng Quản trị &amp; Đầu tư</t>
    </r>
  </si>
  <si>
    <t xml:space="preserve">  BỘ GIÁO DỤC VÀ ĐÀO TẠO</t>
  </si>
  <si>
    <t>CỘNG HOÀ XÃ HỘI CHỦ NGHĨA VIỆT NAM</t>
  </si>
  <si>
    <t>Độc lập - Tự do - Hạnh phúc</t>
  </si>
  <si>
    <t>BẢN DỰ TRÙ KINH PHÍ TTSP NGÀNH GDTH NĂM HỌC 2020 - 2021 (K58)</t>
  </si>
  <si>
    <t>Tại 6 trường tiểu học</t>
  </si>
  <si>
    <t>Nội dung chi</t>
  </si>
  <si>
    <t>Kinh phí</t>
  </si>
  <si>
    <r>
      <t>HƯỚNG DẪN THỰC TẬP</t>
    </r>
    <r>
      <rPr>
        <sz val="10"/>
        <rFont val="Times New Roman"/>
        <family val="1"/>
        <charset val="163"/>
      </rPr>
      <t xml:space="preserve">:  </t>
    </r>
  </si>
  <si>
    <t xml:space="preserve"> Hướng dẫn thực tập giảng dạy: </t>
  </si>
  <si>
    <t>tiết</t>
  </si>
  <si>
    <t>10 tiết x 130 SV</t>
  </si>
  <si>
    <t xml:space="preserve">Hướng dẫn thực tập giáo dục:   </t>
  </si>
  <si>
    <t>8 tiết x 130 SV</t>
  </si>
  <si>
    <t xml:space="preserve"> BỒI DƯỠNG BAN CHỈ ĐẠO TRƯỜNG</t>
  </si>
  <si>
    <t>Trưởng ban</t>
  </si>
  <si>
    <t xml:space="preserve">25.000 đ x 5 tiết x 8 tuần x 6 đoàn </t>
  </si>
  <si>
    <t>Phó ban</t>
  </si>
  <si>
    <t xml:space="preserve">22.000 đ x 3 tiết x 8 tuần x 2 người x 6 đoàn </t>
  </si>
  <si>
    <t>Tổng phụ trách Đội</t>
  </si>
  <si>
    <t xml:space="preserve">25.000đ/tiết  x  1 tiết/tuần  x  8  tuần x 6 đoàn </t>
  </si>
  <si>
    <t xml:space="preserve">Nhóm trưởng bộ môn </t>
  </si>
  <si>
    <t>đoàn</t>
  </si>
  <si>
    <t>300,000đ/đoàn  x 6 đoàn</t>
  </si>
  <si>
    <t>Bồi dưỡng báo cáo viên</t>
  </si>
  <si>
    <t xml:space="preserve">100.000 đồng x 2 báo cáo x 6 đoàn </t>
  </si>
  <si>
    <t xml:space="preserve">200.000 đồng x 6 đoàn </t>
  </si>
  <si>
    <t>Chuẩn bị văn bản, liên hệ đón tiếp SV</t>
  </si>
  <si>
    <t xml:space="preserve">150.000 đồng x 6 đoàn </t>
  </si>
  <si>
    <t>BỒI DƯỠNG BCĐ PHÒNG GIÁO DỤC</t>
  </si>
  <si>
    <t>Cán bộ phòng Giáo dục</t>
  </si>
  <si>
    <t>Trưởng phó phòng Giáo dục</t>
  </si>
  <si>
    <t>người</t>
  </si>
  <si>
    <t xml:space="preserve">300.000 đồng x 2 người </t>
  </si>
  <si>
    <t>KINH PHÍ CHO CÁC ĐOÀN THỰC TẬP</t>
  </si>
  <si>
    <t>Sinh hoạt tập thể</t>
  </si>
  <si>
    <t xml:space="preserve">10.000 đồng x 130 sinh viên </t>
  </si>
  <si>
    <t>Bồi dưỡng Trưởng, phó đoàn</t>
  </si>
  <si>
    <t>Trưởng đoàn</t>
  </si>
  <si>
    <t xml:space="preserve">Phó đoàn     </t>
  </si>
  <si>
    <t xml:space="preserve">100.000 đồng x 6 đoàn </t>
  </si>
  <si>
    <t>KP LIÊN HỆ ĐỊA BÀN TH/TẬP, HỘI NGHỊ TRIỂN KHAI, SƠ KẾT, TỔNG KẾT</t>
  </si>
  <si>
    <t>Liên hệ</t>
  </si>
  <si>
    <t>Phòng GD</t>
  </si>
  <si>
    <t>Phòng</t>
  </si>
  <si>
    <t xml:space="preserve">500.000 đồng x 1 phòng GD </t>
  </si>
  <si>
    <t>Trường</t>
  </si>
  <si>
    <t>trường</t>
  </si>
  <si>
    <t xml:space="preserve">100.000 đồng x 14 trường         </t>
  </si>
  <si>
    <t>Hội nghị</t>
  </si>
  <si>
    <t xml:space="preserve">50.000 đồng x 18 đại biểu x 6 hội nghị </t>
  </si>
  <si>
    <t>50.000 đồng x 15 đại biểu x  6 hội nghị</t>
  </si>
  <si>
    <t>500.000 đồng x 1 phòng GD x 6 hội nghị</t>
  </si>
  <si>
    <t>Một trăm hai mươi tư triệu không trăm năm mươi tư ngàn đồng</t>
  </si>
  <si>
    <r>
      <rPr>
        <b/>
        <sz val="11"/>
        <rFont val="Times New Roman"/>
        <family val="1"/>
        <charset val="163"/>
      </rPr>
      <t>BGH DUYỆT       TRƯỞNG P. KH - TC         TRƯỞNG P. ĐÀO TẠO         TRƯỞNG KHOA GD          NGƯỜI LẬP DỰ TOÁ</t>
    </r>
    <r>
      <rPr>
        <sz val="11"/>
        <rFont val="Times New Roman"/>
        <family val="1"/>
      </rPr>
      <t>N</t>
    </r>
  </si>
  <si>
    <t xml:space="preserve">                              Chu Thị Hà Thanh</t>
  </si>
  <si>
    <t>KHOA GIÁO DỤC</t>
  </si>
  <si>
    <t>DỰ TOÁN KINH PHÍ</t>
  </si>
  <si>
    <t>Nội dung công việc: Kinh phí RLNVSPTX ngành GDTH Khóa  59, 58 - Kì 1 năm học 2020- 2021</t>
  </si>
  <si>
    <t>NỘI DUNG</t>
  </si>
  <si>
    <t>Đơn vị
tính</t>
  </si>
  <si>
    <t>Số tín chỉ/
Số tiết</t>
  </si>
  <si>
    <t>Số
lượng</t>
  </si>
  <si>
    <t>Đơn giá/
tiết</t>
  </si>
  <si>
    <t>Hệ số
học phí</t>
  </si>
  <si>
    <t>Yêu cầu chứng từ thanh toán</t>
  </si>
  <si>
    <t>Văn bản
áp dụng</t>
  </si>
  <si>
    <t>(5)=(1)*(2)*(3)*(4)</t>
  </si>
  <si>
    <t>E</t>
  </si>
  <si>
    <t>TỔNG THU</t>
  </si>
  <si>
    <t>Tổng thu học phần: "RLNVSP TX 2,4" - khóa 58,59 - CQ</t>
  </si>
  <si>
    <t>SV</t>
  </si>
  <si>
    <t>Ngành SP GDTH không thu HP, xác nhận của kế toán theo dõi học phí;</t>
  </si>
  <si>
    <t>Hệ số học phí theo QĐ 2792</t>
  </si>
  <si>
    <t>DỰ TOÁN CHI
(Tối đa = 80% x 192,150,000 = 152,120,000)</t>
  </si>
  <si>
    <t>Điều 50, QCCTNB (VB Bổ sung)</t>
  </si>
  <si>
    <t>Bồi dưỡng cho giảng viên Đại học Vinh
(=1+2+3)</t>
  </si>
  <si>
    <t>Giảng viên hướng dẫn RLNVSP</t>
  </si>
  <si>
    <t>Hướng dẫn RLNVSP tại các trường TH</t>
  </si>
  <si>
    <t>ThS. Nguyễn Thị Phương Nhung - HSL:3</t>
  </si>
  <si>
    <t xml:space="preserve">
 - Lịch RLNVSPTX chi tiết;
- Tính vào giờ dạy, không chi trả bằng tiền mặt;
 - QĐ 3465/QĐ-ĐHV ngày 21/9/2017v/v thành lập đoàn RLNVSPTX;</t>
  </si>
  <si>
    <r>
      <rPr>
        <b/>
        <u/>
        <sz val="12"/>
        <color indexed="8"/>
        <rFont val="Times New Roman"/>
        <family val="1"/>
      </rPr>
      <t xml:space="preserve">Ghi chú: </t>
    </r>
    <r>
      <rPr>
        <sz val="12"/>
        <color indexed="8"/>
        <rFont val="Times New Roman"/>
        <family val="1"/>
      </rPr>
      <t>Đối với</t>
    </r>
    <r>
      <rPr>
        <b/>
        <u/>
        <sz val="12"/>
        <color indexed="8"/>
        <rFont val="Times New Roman"/>
        <family val="1"/>
      </rPr>
      <t xml:space="preserve"> </t>
    </r>
    <r>
      <rPr>
        <sz val="12"/>
        <color indexed="8"/>
        <rFont val="Times New Roman"/>
        <family val="1"/>
      </rPr>
      <t>K58, 59 Chương trình đào tạo theo tiếp cận CDIO, Rèn luyện NVSPTX1, 2: 02 Tín chỉ ;                               - Phụ lục 08, QCCTNB</t>
    </r>
  </si>
  <si>
    <t>ThS Phan Anh Tuấn</t>
  </si>
  <si>
    <t>TS. Nguyễn Thị Phương Nhung  - HSL:3.66</t>
  </si>
  <si>
    <t>ThS. Dương Thị Linh  - HSL:3.66</t>
  </si>
  <si>
    <t>Chấm, nhập điểm bài tập thực hành</t>
  </si>
  <si>
    <t>Nhật kí RLNVSP</t>
  </si>
  <si>
    <t xml:space="preserve">bài </t>
  </si>
  <si>
    <t>Danh sách ký nhận tiền</t>
  </si>
  <si>
    <t>Bài tập NCKH</t>
  </si>
  <si>
    <t>Vở Luyện viết chữ đẹp</t>
  </si>
  <si>
    <t>d</t>
  </si>
  <si>
    <t>Đồ án</t>
  </si>
  <si>
    <t>e</t>
  </si>
  <si>
    <t>Phiếu trắc nghiệm</t>
  </si>
  <si>
    <t>Tổ chức họp, hướng dẫn RLNVSP</t>
  </si>
  <si>
    <t>đợt</t>
  </si>
  <si>
    <t>Liên hệ Phòng GD&amp;ĐT TP. Vinh</t>
  </si>
  <si>
    <t>BCĐ, GV kiểm tra, đánh giá</t>
  </si>
  <si>
    <t>Kinh phí chi cho cơ sở RLNVSPTX</t>
  </si>
  <si>
    <t>Tiểu học Hồng Sơn</t>
  </si>
  <si>
    <t>Tiểu học Bến Thủy</t>
  </si>
  <si>
    <t xml:space="preserve"> - Giấy biên nhận tiền của trường</t>
  </si>
  <si>
    <t>Tiểu học Hưng Dũng 1</t>
  </si>
  <si>
    <t xml:space="preserve"> TH; Có xác nhận của cơ quan;</t>
  </si>
  <si>
    <t>Tiểu học Trường Thi</t>
  </si>
  <si>
    <t>Tiểu học Hưng Dũng 2</t>
  </si>
  <si>
    <t>Tiểu học Quang Trung</t>
  </si>
  <si>
    <t>Tiểu học Đông Vịnh</t>
  </si>
  <si>
    <t>CHÊNH LỆCH THU CHI</t>
  </si>
  <si>
    <t>Số tiền bằng chữ dự kiến chi:                        Một trăm mười tám triệu ba trăm ngàn đồng</t>
  </si>
  <si>
    <t>Nghệ An, ngày 30  tháng 7 năm 2020</t>
  </si>
  <si>
    <t>Người lập dự toán             Trưởng khoa</t>
  </si>
  <si>
    <t>Phòng Đào tạo                       Kế toán theo dõi học phí                         TP.KHTC                    Ban Giám hiệu duyệt</t>
  </si>
  <si>
    <t>TRƯỜNG RLNVSP</t>
  </si>
  <si>
    <t xml:space="preserve">LỚP TÍN CHỈ </t>
  </si>
  <si>
    <t xml:space="preserve">SỐ LƯỢNG SV  </t>
  </si>
  <si>
    <t>SỐ NHÓM</t>
  </si>
  <si>
    <t xml:space="preserve">B/DƯỠNG BCĐ </t>
  </si>
  <si>
    <t>B/D  B/CÁO VIÊN</t>
  </si>
  <si>
    <t>B/D. GVHD C/NHIỆM</t>
  </si>
  <si>
    <t>B/D. GV DẠY MẪU</t>
  </si>
  <si>
    <t>B/D. HD SOẠN -G/ÁN</t>
  </si>
  <si>
    <t>KP TẬP GIẢNG</t>
  </si>
  <si>
    <t>B/D.TỔ TRƯỞNG C/MÔN</t>
  </si>
  <si>
    <t>TỔNG SỐ TIỀN</t>
  </si>
  <si>
    <t xml:space="preserve">450.000đ/đoàn  </t>
  </si>
  <si>
    <t>50000đ/bc*4 bc</t>
  </si>
  <si>
    <t xml:space="preserve">30.000đ/sv  </t>
  </si>
  <si>
    <t xml:space="preserve">50.000đ/tiết    </t>
  </si>
  <si>
    <t>40.000đ/b/ nhóm</t>
  </si>
  <si>
    <t>30.000đ/sv</t>
  </si>
  <si>
    <t>50.000đ/tổ</t>
  </si>
  <si>
    <t>60A1-01-TH</t>
  </si>
  <si>
    <t>60A1-02-TH</t>
  </si>
  <si>
    <t>60A1-03-TH</t>
  </si>
  <si>
    <t>60A1-04-TH</t>
  </si>
  <si>
    <t>Tiểu học Hưng Đông</t>
  </si>
  <si>
    <t>Tiểu học Cửa Nam</t>
  </si>
  <si>
    <t>60A1-05-TH</t>
  </si>
  <si>
    <t>60A1-06-TH</t>
  </si>
  <si>
    <t>59A1-01-TH</t>
  </si>
  <si>
    <t>59A1-02-TH</t>
  </si>
  <si>
    <t>59A1-03-TH</t>
  </si>
  <si>
    <t>59A1-04-TH</t>
  </si>
  <si>
    <t>59A1-05-TH</t>
  </si>
  <si>
    <t>59A1-06-TH</t>
  </si>
  <si>
    <t>59A1-07-TH</t>
  </si>
  <si>
    <t>59A1-08-TH</t>
  </si>
  <si>
    <t>Nghệ An, ngày 30/07/2020</t>
  </si>
  <si>
    <t xml:space="preserve">  BGH DUYỆT              PHÒNG KH-TC                           PHÒNG ĐÀO TẠO         TRƯỞNG K. GIÁO DỤC               NGƯỜI LẬP DỰ  TOÁN</t>
  </si>
  <si>
    <t xml:space="preserve">                            BẢNG DỰ TOÁN  KINH PHÍ THỰC HÀNH NVSP CHO SINH VIÊN </t>
  </si>
  <si>
    <t xml:space="preserve">    </t>
  </si>
  <si>
    <t xml:space="preserve">           NGÀNH GDTH, KÌ 2, NĂM HỌC 2020- 2021</t>
  </si>
  <si>
    <t>DỰ TOÁN KINH PHÍ HỘI THI "VIẾT CHỮ ĐẸP - GIẢI TOÁN NHANH"</t>
  </si>
  <si>
    <t>KHOA GIÁO DỤC, NĂM HỌC 2020 - 2021, NGÀNH GDTH</t>
  </si>
  <si>
    <t>Khóa: 58, 59, 60, 61</t>
  </si>
  <si>
    <t>Ban tổ chức hội thi</t>
  </si>
  <si>
    <t>Danh sách ký nhận</t>
  </si>
  <si>
    <t>Thư ký</t>
  </si>
  <si>
    <t>1.3</t>
  </si>
  <si>
    <t>Dẫn chương trình</t>
  </si>
  <si>
    <t>1.4</t>
  </si>
  <si>
    <t>Ủy viên</t>
  </si>
  <si>
    <t>Ban giám khảo</t>
  </si>
  <si>
    <t>Giải thưởng</t>
  </si>
  <si>
    <t>3.1</t>
  </si>
  <si>
    <t>Giải  Nhất</t>
  </si>
  <si>
    <t>đội</t>
  </si>
  <si>
    <t>3.2</t>
  </si>
  <si>
    <t>Giải Nhì</t>
  </si>
  <si>
    <t>3.3</t>
  </si>
  <si>
    <t>Giải Ba</t>
  </si>
  <si>
    <t>Giải Khuyến khích</t>
  </si>
  <si>
    <t>Ban biên soạn nội dung</t>
  </si>
  <si>
    <t>Giải toán nhanh</t>
  </si>
  <si>
    <t>bộ đề</t>
  </si>
  <si>
    <t>Viết chữ đẹp</t>
  </si>
  <si>
    <t>Hỗ trợ luyện tập, trang phục</t>
  </si>
  <si>
    <t>Khách mời</t>
  </si>
  <si>
    <t>Khẩu hiệu, băng rôn</t>
  </si>
  <si>
    <t>Hóa đơn mua hàng</t>
  </si>
  <si>
    <t>Hoa</t>
  </si>
  <si>
    <t>bình</t>
  </si>
  <si>
    <t>Phông màn</t>
  </si>
  <si>
    <t>Phục vụ hội trường (bàn ghế, bảng viết, trang thiết bị, nước uống….)</t>
  </si>
  <si>
    <t>Nước uống</t>
  </si>
  <si>
    <t>két</t>
  </si>
  <si>
    <t>Văn phòng phẩm (giấy, bút, phấn….)</t>
  </si>
  <si>
    <t xml:space="preserve">bộ </t>
  </si>
  <si>
    <t>Quà tặng khán giả</t>
  </si>
  <si>
    <t>Giấy chứng nhận, khung kính</t>
  </si>
  <si>
    <t>Số tiền bằng chữ: Mười ba triệu</t>
  </si>
  <si>
    <t>một trăm</t>
  </si>
  <si>
    <t>sáu mươi</t>
  </si>
  <si>
    <t>ngàn đồng</t>
  </si>
  <si>
    <t>Nghệ An, ngày 30 tháng 7 năm 2020</t>
  </si>
  <si>
    <t>NGƯỜI LẬP DỰ TOÁN</t>
  </si>
  <si>
    <t>KẾ TOÁN</t>
  </si>
  <si>
    <t>PHÒNG KẾ HOẠCH TÀI CHÍNH</t>
  </si>
  <si>
    <t>BẢN DỰ TRÙ KINH PHÍ TTSP NGÀNH GDMN NĂM HỌC 2020 - 2021 (K57 và K58)</t>
  </si>
  <si>
    <t>Tại trường MN THSP ĐHV Cơ sở 1, 2, Quang Trung 2, Bình Minh, Hoa Sen, Quang Trung 1, Hưng Bình, Trần Đại Nghĩa, MN8 Vlong</t>
  </si>
  <si>
    <t>Bí thư Đoàn Thanh niên</t>
  </si>
  <si>
    <t>Nhóm trưởng bộ môn và hỗ trợ ĐDDH</t>
  </si>
  <si>
    <t xml:space="preserve">                          Trần Thị Hoàng Yến</t>
  </si>
  <si>
    <t>TRƯỜNG ĐH VINH</t>
  </si>
  <si>
    <t>BẢNG DỰ TOÁN KINH PHÍ</t>
  </si>
  <si>
    <t>Nội dung công việc: Kinh phí Rèn luyện NVSPTX 1, Khóa 59 ngành GDMN - Học kỳ 2 (2020 - 2021)</t>
  </si>
  <si>
    <t>Số TC/ tiết</t>
  </si>
  <si>
    <t>Số lượng SV</t>
  </si>
  <si>
    <t>Đơn giá/ tín chỉ</t>
  </si>
  <si>
    <t>Hệ số học phí</t>
  </si>
  <si>
    <t>Văn bản áp dụng</t>
  </si>
  <si>
    <t>Tổng thu HP: RLNVSPTX 1; Khóa 59</t>
  </si>
  <si>
    <t>1,4</t>
  </si>
  <si>
    <t>SV sư phạm không đóng HP</t>
  </si>
  <si>
    <t>DỰ TOÁN CHI (Tối đa: 80%)</t>
  </si>
  <si>
    <t>Chi cho Giảng viên</t>
  </si>
  <si>
    <t>Hướng dẫn RLNVSPTX - K59</t>
  </si>
  <si>
    <t>Tổ GDMN phụ trách</t>
  </si>
  <si>
    <t>TS Trần Thị Hoàng Yến</t>
  </si>
  <si>
    <t>Tính vào giờ dạy, không chi trả trực tiếp</t>
  </si>
  <si>
    <t>QC CTNB: CV</t>
  </si>
  <si>
    <t>Nhóm 1 - K59</t>
  </si>
  <si>
    <t>Tiết</t>
  </si>
  <si>
    <t>1585/QĐ- ĐHV ngày 30/12/2016</t>
  </si>
  <si>
    <t>Nhóm 2- K59</t>
  </si>
  <si>
    <t>Ths. Nguyễn Thị Thu Hạnh</t>
  </si>
  <si>
    <t>Lịch RLNVSPTX;</t>
  </si>
  <si>
    <t>Nhóm 3- K59</t>
  </si>
  <si>
    <t>Nhóm 4 - K59</t>
  </si>
  <si>
    <t xml:space="preserve">Quyết định thành lập đoàn </t>
  </si>
  <si>
    <t>Ths. Phan Huy Hà</t>
  </si>
  <si>
    <t xml:space="preserve">RLNVSPTX K57 </t>
  </si>
  <si>
    <t>Nhóm 5 - K59</t>
  </si>
  <si>
    <t>TS Phạm Thị Huyền</t>
  </si>
  <si>
    <t>Nhóm 6-K59</t>
  </si>
  <si>
    <t>Phan Thị Quỳnh Trang</t>
  </si>
  <si>
    <t>Nhóm 7 - K59</t>
  </si>
  <si>
    <t>Nhóm 8 - K58</t>
  </si>
  <si>
    <t>Chấm bài tập thực hành</t>
  </si>
  <si>
    <t>Bài/SV</t>
  </si>
  <si>
    <t>Ban chỉ đạo</t>
  </si>
  <si>
    <t>BD cơ sở giáo dục mầm non</t>
  </si>
  <si>
    <t>nhóm 1</t>
  </si>
  <si>
    <t>Giấy biên nhận của trường THSP ĐH Vinh</t>
  </si>
  <si>
    <t>Đoàn</t>
  </si>
  <si>
    <t>Báo cáo viên</t>
  </si>
  <si>
    <t>Báo cáo</t>
  </si>
  <si>
    <t>BD Giáo viên CN</t>
  </si>
  <si>
    <t xml:space="preserve"> Dạy mẫu</t>
  </si>
  <si>
    <t>Hướng dẫn soạn Giáo án</t>
  </si>
  <si>
    <t>Giáo án</t>
  </si>
  <si>
    <t>Kinh phí tập giảng</t>
  </si>
  <si>
    <t>Bồi dưỡng tổ trưởng CM</t>
  </si>
  <si>
    <t>Tổ</t>
  </si>
  <si>
    <t>nhóm 2</t>
  </si>
  <si>
    <t>nhóm 3</t>
  </si>
  <si>
    <t>nhóm 4</t>
  </si>
  <si>
    <t>nhóm 5</t>
  </si>
  <si>
    <t>nhóm 6</t>
  </si>
  <si>
    <t xml:space="preserve">nhóm 7 </t>
  </si>
  <si>
    <t xml:space="preserve">nhóm 8 </t>
  </si>
  <si>
    <t>Vinh, ngày    tháng   năm 2020</t>
  </si>
  <si>
    <t>Ban Giám hiệu</t>
  </si>
  <si>
    <t>Phòng KHTC</t>
  </si>
  <si>
    <t>Kế toán</t>
  </si>
  <si>
    <t>Khoa Giáo dục</t>
  </si>
  <si>
    <t>Người lập dự toán</t>
  </si>
  <si>
    <t xml:space="preserve">       </t>
  </si>
  <si>
    <t xml:space="preserve">             Ban Giám hiệu                   Phòng KHTC                       Kế toán                      Khoa Giáo dục                   Người lập dự toán</t>
  </si>
  <si>
    <t xml:space="preserve">                                                                                                                                                         Trần Thị Hoàng Yến</t>
  </si>
  <si>
    <t xml:space="preserve">  Rèn luyện nghiệp vụ sư phạm thường xuyên 2, ngành GDMN  (2020 - 2021)</t>
  </si>
  <si>
    <t>Số TC/số tiết</t>
  </si>
  <si>
    <t>Tổng thu HP: RLNVSPTX 2 - Khóa 58</t>
  </si>
  <si>
    <t>Hướng dẫn RLNVSPTX</t>
  </si>
  <si>
    <t>TS. Trần Thị Hoàng Yến.                     HSL: 4,42</t>
  </si>
  <si>
    <t xml:space="preserve">Tính vào giờ dạy, không chi </t>
  </si>
  <si>
    <t>Nhóm 1 - K58</t>
  </si>
  <si>
    <t>trả trực tiếp.</t>
  </si>
  <si>
    <t>TS Phạm Thị Huyền  HSL: 4,32</t>
  </si>
  <si>
    <t>Nhóm 2 - K58</t>
  </si>
  <si>
    <t>Nhóm 9- K58 VL</t>
  </si>
  <si>
    <t>Ths Nguyễn Thị Thu Hạnh</t>
  </si>
  <si>
    <t>Nhóm 3 - K58</t>
  </si>
  <si>
    <t>Ths Phạm Thị Hải Châu</t>
  </si>
  <si>
    <t>Nhóm 4- K58</t>
  </si>
  <si>
    <t>Ths Trần Thị Thúy Nga</t>
  </si>
  <si>
    <t>Nhóm 5 - K58</t>
  </si>
  <si>
    <t>Ths Nguyễn Thị Kỳ</t>
  </si>
  <si>
    <t>Nhóm 6 - K58</t>
  </si>
  <si>
    <t xml:space="preserve">Ths. Phan Huy Hà           </t>
  </si>
  <si>
    <t>Tính vào giờ dạy</t>
  </si>
  <si>
    <t>Nhóm 7- K58</t>
  </si>
  <si>
    <t>Ths Phan Thị Quỳnh Trang</t>
  </si>
  <si>
    <t>Bài tập của khóa 58 GDMN</t>
  </si>
  <si>
    <t>BD trường THSP ĐHVinh</t>
  </si>
  <si>
    <t>RLNVTX 1 - K57 GDMN</t>
  </si>
  <si>
    <t xml:space="preserve">nhóm 2 </t>
  </si>
  <si>
    <t>Nhóm 7</t>
  </si>
  <si>
    <t>Nhóm 8</t>
  </si>
  <si>
    <t>Dạy mẫu</t>
  </si>
  <si>
    <t>Nhóm 9 (Nhóm Vĩnh long)</t>
  </si>
  <si>
    <t xml:space="preserve">           Vinh, ngày     tháng 07 năm 2019</t>
  </si>
  <si>
    <t>ăm 2020</t>
  </si>
  <si>
    <t xml:space="preserve">        Phòng KHTC</t>
  </si>
  <si>
    <t xml:space="preserve">          Ban Giám hiệu duyệt</t>
  </si>
  <si>
    <t>BẢNG TỔNG HỢP CÁC HOẠT ĐỘNG ĐÀO TẠO, THỰC HÀNH - THÍ NGHIỆM ĐỀ NGHỊ CẤP KINH PHÍ NĂM HỌC 2020-2021</t>
  </si>
  <si>
    <t>Nghệ An, ngày  14  tháng 7 năm 2020</t>
  </si>
  <si>
    <t>RLNVSPTX 2</t>
  </si>
  <si>
    <t>RLNVSPTX 1</t>
  </si>
  <si>
    <t>Rèn luyện NVSPTX GDTH  1 (59 và 60)</t>
  </si>
  <si>
    <t>KẾ HOẠCH BIÊN SOẠN, XUẤT BẢN GIÁO TRÌNH, TÀI LIỆU HỌC TẬP
Năm học 2020 - 2021</t>
  </si>
  <si>
    <t>Bộ môn quản lý HP</t>
  </si>
  <si>
    <t>Chủ biên (chức danh, học vị)</t>
  </si>
  <si>
    <t xml:space="preserve">Các đồng tác giả </t>
  </si>
  <si>
    <r>
      <t>Thời gian nộp bản thảo
(</t>
    </r>
    <r>
      <rPr>
        <i/>
        <sz val="12"/>
        <rFont val="Times New Roman"/>
        <family val="1"/>
      </rPr>
      <t>trước 30/4/2021)</t>
    </r>
  </si>
  <si>
    <t>Đánh giá trong giáo dục</t>
  </si>
  <si>
    <t>SĐH</t>
  </si>
  <si>
    <t xml:space="preserve">EDU </t>
  </si>
  <si>
    <t>QLGD</t>
  </si>
  <si>
    <t>Tháng 4/2021</t>
  </si>
  <si>
    <t>Phương pháp phát triển ngôn ngữ cho trẻ</t>
  </si>
  <si>
    <t>EDU30041</t>
  </si>
  <si>
    <t>GDMN</t>
  </si>
  <si>
    <t>TS. Phan Xuân Phồn</t>
  </si>
  <si>
    <t xml:space="preserve">Phương pháp hình thành biểu tượng toán cho trẻ </t>
  </si>
  <si>
    <t>EDU30051</t>
  </si>
  <si>
    <t>TS. Phạm Thị Huyền</t>
  </si>
  <si>
    <t>Ths. Phạm Thị Hải Châu</t>
  </si>
  <si>
    <t>Phương pháp dạy học tiếng Việt</t>
  </si>
  <si>
    <t>EDU30038</t>
  </si>
  <si>
    <t>GDTH</t>
  </si>
  <si>
    <t>PGS.TS Chu Thị Thủy An</t>
  </si>
  <si>
    <t>TS.Chu Hà Thanh</t>
  </si>
  <si>
    <t>Xây dựng mô hình tự quản sống xanh trong khu ký túc xá các trường Đại học</t>
  </si>
  <si>
    <t>Lê Thị Hà Trang -59 GDTH và nhóm NC</t>
  </si>
  <si>
    <t>Vận dụng phương pháp dạy học dự án trong tổ chức hoạt động trải nghiệm ở tiểu học</t>
  </si>
  <si>
    <t>Phạm Quỳnh Mai - 58 GDTH và nhóm NC</t>
  </si>
  <si>
    <t>3.3.</t>
  </si>
  <si>
    <t>Nhóm NC 59 MN</t>
  </si>
  <si>
    <t>Xây dựng hệ thống tình huống sư phạm nhằm phát triển  năng lực nghề nghiệp cho sinh viên ngành Giáo dục Tiểu học.</t>
  </si>
  <si>
    <t>Nghiên cứu năng lực nghề nghiệp tổ trưởng chuyên môn các trường phổ thông</t>
  </si>
  <si>
    <t>ThS Nguyễn Việt Phương</t>
  </si>
  <si>
    <t>Rèn luyện kĩ năng thiết kế bài học môn Tiếng Việt theo định hướng phát triển năng lực cho sinh viên ngành Giáo dục Tiểu học</t>
  </si>
  <si>
    <t>PGS.TS. Chu Thị Thủy An</t>
  </si>
  <si>
    <t>Giáo dục kĩ năng xã hội cho trẻ 5-6 tuổi theo tiếp cận đa văn hóa</t>
  </si>
  <si>
    <t>ThS Nguyễn Thị Thu Hạnh</t>
  </si>
  <si>
    <t>Bồi dưỡng theo tiêu chuẩn chức danh nghề nghiệp GV MN, TH</t>
  </si>
  <si>
    <t>Trường Tổ chức</t>
  </si>
  <si>
    <t>Bồi dưỡng GV dạy lớp 2</t>
  </si>
  <si>
    <t>Bồi dưỡng GV theo dự án Rgep</t>
  </si>
  <si>
    <t>Bồi dưỡng giáo viên phổ thông cốt cán và đại trà theo chương trình Etep</t>
  </si>
  <si>
    <t>Bồi dưỡng giáo viên chủ nhiệm lớp</t>
  </si>
  <si>
    <t>Bồi dưỡng tổ trưởng chuyên môn</t>
  </si>
  <si>
    <t>TỔNG HỢP CÁC KHOẢN THU NĂM HỌC 2020-2021</t>
  </si>
  <si>
    <t>TỔNG HỢP CÁC KHOẢN  CHI NĂM HỌC 2020-2021</t>
  </si>
  <si>
    <t>CHI PHÍ TIỀN LƯƠNG, CÁC KHOẢN TRÍCH THEO LƯƠNG, THU NHẬP TĂNG THÊM VÀ PHÚC LỢI NGÀY LỄ TẾT CỦA CÁC ĐƠN VỊ TÍNH THEO MỨC LƯƠNG CƠ BẢN 1.600.000 ĐỒNG NĂM HỌC 2020-2021 ( THEO DANH SÁCH, HỆ SỐ LƯƠNG THÁNG 7.2020</t>
  </si>
  <si>
    <t xml:space="preserve"> Ban quản lý cơ sở II </t>
  </si>
  <si>
    <t xml:space="preserve"> Nhà Xuất bản </t>
  </si>
  <si>
    <t xml:space="preserve"> Trạm Y tế </t>
  </si>
  <si>
    <t xml:space="preserve"> Trung tâm GDQPAN Vinh </t>
  </si>
  <si>
    <t xml:space="preserve"> Văn phòng đại diện tỉnh Thanh Hóa </t>
  </si>
  <si>
    <t xml:space="preserve"> Văn phòng Đảng - Đoàn thể </t>
  </si>
  <si>
    <t xml:space="preserve">Khoa Giáo dục </t>
  </si>
  <si>
    <t xml:space="preserve">Khoa Giáo dục thể chất </t>
  </si>
  <si>
    <t xml:space="preserve">Khoa Sư phạm Ngoại ngữ </t>
  </si>
  <si>
    <t xml:space="preserve">Khoa Xây dựng </t>
  </si>
  <si>
    <t xml:space="preserve">Phòng Công tác Chính trị và HS-SV </t>
  </si>
  <si>
    <t xml:space="preserve">Phòng Kế hoạch-Tài chính </t>
  </si>
  <si>
    <t xml:space="preserve">Phòng Quản Trị và Đầu tư </t>
  </si>
  <si>
    <t xml:space="preserve">Phòng Tổ chức Cán bộ </t>
  </si>
  <si>
    <t xml:space="preserve">Trung tâm Bồi dưỡng Nghiệp vụ sư phạm </t>
  </si>
  <si>
    <t xml:space="preserve">Trung tâm Kiểm định chất lượng giáo dục </t>
  </si>
  <si>
    <t xml:space="preserve">Trung tâm Thông tin - Thư viện </t>
  </si>
  <si>
    <t xml:space="preserve">Trường Thực hành sư phạm </t>
  </si>
  <si>
    <t xml:space="preserve">Trường Trung học Phổ thông Chuyên </t>
  </si>
  <si>
    <t xml:space="preserve">Viện Khoa học Xã hội và Nhân văn </t>
  </si>
  <si>
    <t xml:space="preserve">Viện Sư phạm Tự nhiên </t>
  </si>
  <si>
    <t xml:space="preserve">Viện Sư phạm Xã hội </t>
  </si>
  <si>
    <t>Biểu 2 (thừa giờ)</t>
  </si>
  <si>
    <t>Hướng dẫn xây dựng KHNH 690/2020</t>
  </si>
  <si>
    <t>Hướng dẫn số 706/2018 và QCCTNB, điều 29-tr45</t>
  </si>
  <si>
    <t>Hỗ trợ hoạt động phong trào sinh viên (K61 - K58-K59-K60) 100.000/1SV/Khóa học(8 học kì)</t>
  </si>
  <si>
    <t>Biểu 5, CTNB-điểu 27-tr44</t>
  </si>
  <si>
    <t>10% tổng thu tại trường, HD 690/2020</t>
  </si>
  <si>
    <t>Xem biểu Dự kiến xuất bản (7B)</t>
  </si>
  <si>
    <t>Biểu số 2, Hướng dẫn xây dựng KHNH 690/2020</t>
  </si>
  <si>
    <t>Biểu số 1, Hướng dẫn xây dựng KHNH 690/2020</t>
  </si>
  <si>
    <t>TỔNG HỢP THU CHI NĂM HỌC 2020-2021</t>
  </si>
  <si>
    <t>Vận dụng lí thuyết học tập trải nghiệm vào thiết kế, tổ chức hoạt động trải nghiệm trong dạy học các môn học ở tiểu học, đáp ứng chương trình giáo dục phổ thông 2018</t>
  </si>
  <si>
    <t>Cấp Trường trọng điểm</t>
  </si>
  <si>
    <t>Thiết kế hoạt động trải nghiệm trong dạy học Toán cho HS lớp 4, 5</t>
  </si>
  <si>
    <t>Võ Thị Thúy Hằng</t>
  </si>
  <si>
    <t>Thực trạng chất lượng học tập của SV k58 ngành GDTH thực hiện CTĐT theo tiếp cận CDIO</t>
  </si>
  <si>
    <t>Nguyễn Thị Trâm Anh</t>
  </si>
  <si>
    <t>Thực hành tổ chức hoạt động trải nghiệm cho học sinh tiểu học</t>
  </si>
  <si>
    <t>Tổ chức hoạt động trải nghiệm sáng tạo</t>
  </si>
  <si>
    <t>EDU30045</t>
  </si>
  <si>
    <t xml:space="preserve">TS. Nguyễn Thị Phương Nhung </t>
  </si>
  <si>
    <t>Tháng 12/2020</t>
  </si>
  <si>
    <t>Danh sách này có 06  giáo trình đăng ký xuất bản</t>
  </si>
  <si>
    <t>Phòng thực hành dinh dưỡng</t>
  </si>
  <si>
    <t>Dùng cho phòng thực hành bộ môn GDMN</t>
  </si>
  <si>
    <t>Xây dựng chương trình bổ trợ trong đào tạo giáo viên mầm non đáp ứng đa dạng hóa các loại hình trường lớp.</t>
  </si>
  <si>
    <t>Sử dụng nguyên liệu tự nhiên trong hoạt động tạo hình cho trẻ mẫu giáo 5-6 tuổi ở trường mầm non</t>
  </si>
  <si>
    <t>Phát triển ngôn ngữ cho trẻ 5-6 tuổi thông qua sử dụng đồng dao</t>
  </si>
  <si>
    <t>Giáo dục thẩm mỹ cho trẻ 4-5 tuổi thông qua hoạt động âm nhạc ở trường mầm non</t>
  </si>
  <si>
    <t>Tự đánh giá chương trình đào tạo ngành GDMN</t>
  </si>
  <si>
    <t>CỘNG HÒA XÃ HỘI CHỦ NGHĨA VIỆT NAM</t>
  </si>
  <si>
    <t>DỰ TOÁN KINH PHÍ TỰ ĐÁNH GIÁ CHẤT LƯỢNG CHƯƠNG TRÌNH ĐÀO TẠO NGÀNH GIÁO DỤC MẦM NON</t>
  </si>
  <si>
    <t>Nội dung thực hiện</t>
  </si>
  <si>
    <t>Đơn vị thực hiện</t>
  </si>
  <si>
    <t>Định mức (VNĐ)</t>
  </si>
  <si>
    <t>Kinh phí (VNĐ)</t>
  </si>
  <si>
    <t xml:space="preserve">Ghi chú về </t>
  </si>
  <si>
    <t>Đơn vị nhận tiền</t>
  </si>
  <si>
    <t>chứng từ thanh toán</t>
  </si>
  <si>
    <t>Thành lập các nhóm đánh giá (nhóm chung, nhóm thành phần….)</t>
  </si>
  <si>
    <t>TT ĐBCL</t>
  </si>
  <si>
    <t>Phụ lục 
IV, Quy chế 
CTNB 2018</t>
  </si>
  <si>
    <t>Hội nghị triển khai phân, công nhiệm vụ</t>
  </si>
  <si>
    <t>HĐ Tự đánh giá</t>
  </si>
  <si>
    <t>Thu thập thông tin MC</t>
  </si>
  <si>
    <t>Tiêu chuẩn 1: (3 tiêu chí) /3 thư ký (1TC x 3 buổi)</t>
  </si>
  <si>
    <t>Thư ký nhóm 1</t>
  </si>
  <si>
    <t>buổi</t>
  </si>
  <si>
    <t>Sản phẩm</t>
  </si>
  <si>
    <t>Tiêu chuẩn 2: (3 tiêu chí)/ 3 thư ký (1TC x 3 buổi)</t>
  </si>
  <si>
    <t>Tiêu chuẩn 3: (3 tiêu chí)/ 3 thư ký (1TC x 3 buổi)</t>
  </si>
  <si>
    <t>Thư ký nhóm 2</t>
  </si>
  <si>
    <t>Tiêu chuẩn 4: (3 tiêu chí)/ 3 thư ký (1TC x 3 buổi)</t>
  </si>
  <si>
    <t>Tiêu chuẩn 5: (5 tiêu chí)/ 5 thư ký (1TC x 3 buổi)</t>
  </si>
  <si>
    <t>Thư ký nhóm 3</t>
  </si>
  <si>
    <t>Tiêu chuẩn 6: (7 tiêu chí)/ 5 thư ký (1TC x 3 buổi)</t>
  </si>
  <si>
    <t>Thư ký nhóm 4</t>
  </si>
  <si>
    <t>Tiêu chuẩn 7: (5 tiêu chí)/ 3 thư ký (1TC x 3 buổi)</t>
  </si>
  <si>
    <t>Tiêu chuẩn 8: (5 tiêu chí)/ 3 thư ký (1TC x 3 buổi)</t>
  </si>
  <si>
    <t>Tiêu chuẩn 9: (5 tiêu chí)/ 4 thư ký (1TC x 3 buổi)</t>
  </si>
  <si>
    <t>Thư ký nhóm 5</t>
  </si>
  <si>
    <t>Tiêu chuẩn 10: (6 tiêu chí)/ 3 thư ký (1TC x 3 buổi)</t>
  </si>
  <si>
    <t>Thư ký nhóm 6</t>
  </si>
  <si>
    <t>Tiêu chuẩn 11: (5 tiêu chí)/ 3 thư ký (1TC x 3 buổi)</t>
  </si>
  <si>
    <t xml:space="preserve">Phân loại hồ sơ  minh chứng </t>
  </si>
  <si>
    <t>Tiêu chuẩn 1: (3 tiêu chí) /3 thư ký (1TC x 2 buổi)</t>
  </si>
  <si>
    <t>Tiêu chuẩn 2: (3 tiêu chí)/ 3 thư ký (1TC x 2 buổi)</t>
  </si>
  <si>
    <t>Tiêu chuẩn 3: (3 tiêu chí)/ 3 thư ký (1TC x 2 buổi)</t>
  </si>
  <si>
    <t>Tiêu chuẩn 4: (3 tiêu chí)/ 3 thư ký (1TC x 2 buổi)</t>
  </si>
  <si>
    <t>Tiêu chuẩn 5: (5 tiêu chí)/ 5 thư ký (1TC x 2 buổi)</t>
  </si>
  <si>
    <t>Tiêu chuẩn 6: (7 tiêu chí)/ 5 thư ký (1TC x 2 buổi)</t>
  </si>
  <si>
    <t>Tiêu chuẩn 7: (5 tiêu chí)/ 3 thư ký (1TC x 2 buổi)</t>
  </si>
  <si>
    <t>Tiêu chuẩn 8: (5 tiêu chí)/ 3 thư ký (1TC x 2 buổi)</t>
  </si>
  <si>
    <t>Tiêu chuẩn 9: (5 tiêu chí)/ 4 thư ký (1TC x 2 buổi)</t>
  </si>
  <si>
    <t>Tiêu chuẩn 10: (6 tiêu chí)/ 5 thư ký (1TC x 2 buổi)</t>
  </si>
  <si>
    <t>Tiêu chuẩn 11: (5 tiêu chí)/ 5 thư ký  (1TC x 2 buổi)</t>
  </si>
  <si>
    <r>
      <t>Mã hóa, Tổng hợp bộ hồ sơ minh chứng</t>
    </r>
    <r>
      <rPr>
        <sz val="12"/>
        <rFont val="Times New Roman"/>
        <family val="1"/>
      </rPr>
      <t xml:space="preserve"> (4 người x 5 buổi)</t>
    </r>
  </si>
  <si>
    <r>
      <t xml:space="preserve">Báo cáo cơ sở dữ liệu Kiểm định chất lượng giáo dục. </t>
    </r>
    <r>
      <rPr>
        <sz val="12"/>
        <rFont val="Times New Roman"/>
        <family val="1"/>
      </rPr>
      <t>(2 người x 15 buổi)</t>
    </r>
  </si>
  <si>
    <r>
      <t xml:space="preserve">Viết báo cáo phần Tổng quan </t>
    </r>
    <r>
      <rPr>
        <sz val="12"/>
        <rFont val="Times New Roman"/>
        <family val="1"/>
      </rPr>
      <t>(3 biên soạn, 2 phản biện) 5 người x 10 buổi</t>
    </r>
  </si>
  <si>
    <t>Báo cáo tiêu chí và viết phiếu đánh giá tiêu chí</t>
  </si>
  <si>
    <t>Các thành viên theo Quyết định của Hội đồng</t>
  </si>
  <si>
    <t>báo cáo</t>
  </si>
  <si>
    <t>Viết dự thảo, báo cáo tiêu chuẩn tự đánh giá</t>
  </si>
  <si>
    <t>Tiêu chuẩn 1: (3 tiêu chí) (1TC x 5 buổi)</t>
  </si>
  <si>
    <t>Tiêu chuẩn 2: (3 tiêu chí)  (1TC x 5 buổi)</t>
  </si>
  <si>
    <t>Tiêu chuẩn 3: (3 tiêu chí)  (1TC x 5 buổi)</t>
  </si>
  <si>
    <t>Tiêu chuẩn 4: (3 tiêu chí)  (1TC x 5 buổi)</t>
  </si>
  <si>
    <t>Tiêu chuẩn 5: (5 tiêu chí)  (1TC x 5 buổi)</t>
  </si>
  <si>
    <t>Tiêu chuẩn 6: (7 tiêu chí)  (1TC x 5 buổi)</t>
  </si>
  <si>
    <t>Tiêu chuẩn 7: (5 tiêu chí)   (1TC x 5 buổi)</t>
  </si>
  <si>
    <t>Tiêu chuẩn 8: (5 tiêu chí)   (1TC x 5 buổi)</t>
  </si>
  <si>
    <t>Tiêu chuẩn 9: (5 tiêu chí)  (1TC x 5 buổi)</t>
  </si>
  <si>
    <t>Tiêu chuẩn 10: (6 tiêu chí)   (1TC x 5 buổi)</t>
  </si>
  <si>
    <t>Tiêu chuẩn 11: (5 tiêu chí)   (1TC x 5 buổi)</t>
  </si>
  <si>
    <r>
      <t xml:space="preserve">Biên tập, hoàn thiện các báo cáo Tự đánh giá </t>
    </r>
    <r>
      <rPr>
        <sz val="12"/>
        <rFont val="Times New Roman"/>
        <family val="1"/>
      </rPr>
      <t>(gồm cả đọc phản biện cho các nhóm) 7</t>
    </r>
    <r>
      <rPr>
        <b/>
        <sz val="12"/>
        <rFont val="Times New Roman"/>
        <family val="1"/>
      </rPr>
      <t xml:space="preserve"> người x 20 buổi</t>
    </r>
  </si>
  <si>
    <t>Nhóm thư ký</t>
  </si>
  <si>
    <t>In ấn, đóng bìa, photocopy tài liệu, đổ mực máy in, mua giấy A4…</t>
  </si>
  <si>
    <t>tờ</t>
  </si>
  <si>
    <t>Hóa đơn</t>
  </si>
  <si>
    <t>Phụ cấp trách nhiệm:</t>
  </si>
  <si>
    <t>Mục 1b,
Điều 51
quy chế
CTNB
năm 2017</t>
  </si>
  <si>
    <t>Tổng tiền nhận 1 chương trình</t>
  </si>
  <si>
    <t>Bằng chữ: Năm mươi chín triệu năm trăm nghìn đồng</t>
  </si>
  <si>
    <t>Hiệu trưởng</t>
  </si>
  <si>
    <t>Trưởng phòng KHTC</t>
  </si>
  <si>
    <t>GĐ Trung tâm ĐBCL</t>
  </si>
  <si>
    <t>Người lập dự  toán</t>
  </si>
  <si>
    <t>Nghiên cứu giải pháp quản lý hoạt động tư vấn tâm lý học đường cho học sinh THCS thành phố Vinh, tỉnh Nghệ An.</t>
  </si>
  <si>
    <t>Dự kiến số lượng tuyển mới: 0</t>
  </si>
  <si>
    <t>Cán bộ hành chính: 0</t>
  </si>
  <si>
    <t>Cán bộ giảng dạy: 04, gồm:</t>
  </si>
  <si>
    <t>Cán bộ hành chính:0</t>
  </si>
  <si>
    <t>Cán bộ giảng dạy: 06, gồm:</t>
  </si>
  <si>
    <t>Cán bộ hành chính: 02</t>
  </si>
  <si>
    <t>CBGD đảm nhận ĐM giờ giảng viên trở lên: 7</t>
  </si>
  <si>
    <t>Sửa chữa, bảo dưỡng tài sản có giá trị  (Điều hoà, máy tính, máy phôto, sửa chữa các công trình)</t>
  </si>
  <si>
    <t>Dự kiến số lượng tuyển mới: 09</t>
  </si>
  <si>
    <t>Dự kiến số lượng CB, GV nghỉ hưu: 01</t>
  </si>
  <si>
    <t>CBGD đảm nhận ĐM giờ khác: 01</t>
  </si>
  <si>
    <t>Nghiên cứu Giáo dục kỹ năng nhận biết và phòng tránh nguy hiểm cho trẻ 5-6 tuổi thông qua hoạt động trải nghiệmhát triển ngôn ngữ cho trẻ mầm non</t>
  </si>
  <si>
    <t>Rèn luyện NVSPTX GDTH 2 (58 và 59)</t>
  </si>
  <si>
    <t>Th.S Nguyễn Việt Phương</t>
  </si>
  <si>
    <t>TS. Phạm Lê Cường</t>
  </si>
  <si>
    <t>Nghệ An, ngày……..tháng……..năm 2020</t>
  </si>
  <si>
    <t>Nghệ An, ngày       tháng     năm 2020</t>
  </si>
  <si>
    <t>Cán bộ giảng dạy: 10, gồm:</t>
  </si>
  <si>
    <t>CBGD đảm nhận ĐM giờ giáo viên: 0</t>
  </si>
  <si>
    <t>Cán bộ giảng dạy: 09, gồm:</t>
  </si>
  <si>
    <t>CBGD đảm nhận ĐM giờ giảng viên trở lên: 08</t>
  </si>
  <si>
    <t>Các nội dung</t>
  </si>
  <si>
    <t>Văn bản áp dụng 
(QC CTNB 1585-ĐHV)</t>
  </si>
  <si>
    <t>(3) =(1)*(2)</t>
  </si>
  <si>
    <t>Điều 28, khoản 2 tr45</t>
  </si>
  <si>
    <t>500 sinh viên</t>
  </si>
  <si>
    <t>299</t>
  </si>
  <si>
    <t>Từ sinh viên 501 đến 1803 (1803 sinh viên)</t>
  </si>
  <si>
    <t xml:space="preserve">DỰ TOÁN CHI
</t>
  </si>
  <si>
    <t>Danh sách kí nhận, Chương trình Hội thi, Danh sách ban tổ chức hội thi; kèm Quyết định</t>
  </si>
  <si>
    <t>Phụ lục IV mục V,tr104</t>
  </si>
  <si>
    <t>Trưởng Ban (1 người x 5 buổi/người = 5 buổi)</t>
  </si>
  <si>
    <t>Buổi</t>
  </si>
  <si>
    <t>Phó trưởng ban, Ủy viên  (11 người x 5 buổi=55 buổi)</t>
  </si>
  <si>
    <t>Ban Giám Khảo Hội Thi</t>
  </si>
  <si>
    <t>Danh sách kí nhận, Chương trình Hội thi, Danh sách ban giám khảo Hội thi; Quyết định</t>
  </si>
  <si>
    <t>Trưởng Ban (1 người x 4 buổi/người = 4 buổi)</t>
  </si>
  <si>
    <t>Ủy viên (4 người x 4 buổi/người = 16 buổi)</t>
  </si>
  <si>
    <t>Ban thư kí Hội thi</t>
  </si>
  <si>
    <t>Danh sách kí nhận, Chương trình Hội thi, Danh sách ban thư kí</t>
  </si>
  <si>
    <t>Uỷ viên (2 người x 4 buổi/người= 4 buổi)</t>
  </si>
  <si>
    <t>Ban xây dựng và kiểm duyệt chương trình</t>
  </si>
  <si>
    <t>Danh sách kí nhận, Chương trình Hội thi, Danh sách ban xây dựng và kiểm duyệt chương trình</t>
  </si>
  <si>
    <t>Trưởng Ban (1 người x 3 buổi)</t>
  </si>
  <si>
    <t>Phó trưởng ban, Ủy viên thư kí (4 người x 3 buổi/người = 12 buổi)</t>
  </si>
  <si>
    <t>Xây dựng bộ đề phục vụ hội thi (10 bộ đề x 10 câu)</t>
  </si>
  <si>
    <t>Câu hỏi</t>
  </si>
  <si>
    <t>Danh sách kí nhận ra đề</t>
  </si>
  <si>
    <t>Điều 45 khoản 4c, tr77</t>
  </si>
  <si>
    <t>Giải thưởng Hội thi (2 ngành Giáo dục Tiểu học và Giáo dục mầm non)</t>
  </si>
  <si>
    <t>Danh sách kí nhận, thể lệ giải thưởng</t>
  </si>
  <si>
    <t>Giải nhất (toàn đoàn)</t>
  </si>
  <si>
    <t>Giải</t>
  </si>
  <si>
    <t>Giải nhì  (toàn đoàn)</t>
  </si>
  <si>
    <t>Giải ba  (toàn đoàn)</t>
  </si>
  <si>
    <t>Giải khuyến khích  (toàn đoàn)</t>
  </si>
  <si>
    <t>Giải nhất (nội dung)</t>
  </si>
  <si>
    <t>Kinh phí hỗ trợ tham dự hội thi</t>
  </si>
  <si>
    <t>Danh sách kí nhận</t>
  </si>
  <si>
    <t>Tập thể (8 đội x 10 người/đội = 80 người)</t>
  </si>
  <si>
    <t>Người</t>
  </si>
  <si>
    <t>Phục vụ Hội trường (Tổ chức ở nhà Thi Đấu)</t>
  </si>
  <si>
    <t>Theo thực tế</t>
  </si>
  <si>
    <t>Trang trí, phụ trách âm thanh và trình chiếu (4 người x 2 buổi = 8 buổi)</t>
  </si>
  <si>
    <t>Chi khác liên quan đến Hội thi</t>
  </si>
  <si>
    <t>Văn phòng phẩm phục vụ Hội thi</t>
  </si>
  <si>
    <t>Hoa tặng</t>
  </si>
  <si>
    <t>Bó</t>
  </si>
  <si>
    <t>Hoa để bàn</t>
  </si>
  <si>
    <t>Đĩa</t>
  </si>
  <si>
    <t>Chai</t>
  </si>
  <si>
    <t>Giấy khen, khung giấy khen</t>
  </si>
  <si>
    <t>Phần thưởng cho phần thi khán giả</t>
  </si>
  <si>
    <t>Phần quà</t>
  </si>
  <si>
    <t>Bồi dưỡng cho người dẫn chương trình (2 đêm x 2 người)</t>
  </si>
  <si>
    <t>lượt</t>
  </si>
  <si>
    <t>CHÊNH LỆCH THU CHI = I - II</t>
  </si>
  <si>
    <t xml:space="preserve"> Tổng số tiền dự toán chi: </t>
  </si>
  <si>
    <t>Ban CN Khoa</t>
  </si>
  <si>
    <t>Duyệt BGH</t>
  </si>
  <si>
    <t>DỰ TOÁN KINH PHÍ HỘI THI NGHIỆP VỤ SƯ PHẠM NĂM HỌC 2020 - 2021</t>
  </si>
  <si>
    <t xml:space="preserve">                                Nghệ An, ngày    tháng     năm 2020</t>
  </si>
  <si>
    <t>Bằng chữ:Hai mươi mốt triệu, năm trăm sáu mươi nghìn đồng.</t>
  </si>
  <si>
    <t>58,60,59</t>
  </si>
  <si>
    <t>Ban chỉ đạo tháng rèn nghề cấp khoa (5 người)</t>
  </si>
  <si>
    <t>05</t>
  </si>
  <si>
    <t>70,000</t>
  </si>
  <si>
    <t>Trưởng Ban (1 người x 10 buổi/người = 10 buổi)</t>
  </si>
  <si>
    <t>Phó trưởng ban, Ủy viên  (4 người x 10 buổi=40 buổi)</t>
  </si>
  <si>
    <t>Hội thi Sinh viên rèn nghề khoa Giáo dục</t>
  </si>
  <si>
    <t>1.2.1</t>
  </si>
  <si>
    <t>Ban tổ chức Hội thi rèn nghề (5 người x 2 buổi = 10 buổi)</t>
  </si>
  <si>
    <t>10</t>
  </si>
  <si>
    <t>700,000</t>
  </si>
  <si>
    <t>1.2.2</t>
  </si>
  <si>
    <t>Hỗ trợ đội thi rèn nghề cấp trường (5 người )</t>
  </si>
  <si>
    <t>HỘI THI SINH VIÊN RÈN NGHỀ</t>
  </si>
  <si>
    <t xml:space="preserve"> Dưới 500 sinh viên</t>
  </si>
  <si>
    <t>78</t>
  </si>
  <si>
    <t>Trưởng Ban (1 người x 2 buổi/người = 2 buổi)</t>
  </si>
  <si>
    <t>Phó trưởng ban, Ủy viên  (10 người x 2 buổi=20 buổi)</t>
  </si>
  <si>
    <t>Ủy viên (4 người x 2 buổi/người = 8 buổi)</t>
  </si>
  <si>
    <t>Uỷ viên (2 người x 2 buổi/người= 4 buổi)</t>
  </si>
  <si>
    <t>Trưởng Ban (1 người x 2 buổi)</t>
  </si>
  <si>
    <t>Phó trưởng ban, Ủy viên thư kí (4 người x 2 buổi/người = 8 buổi)</t>
  </si>
  <si>
    <t>4.3.</t>
  </si>
  <si>
    <t>Soạn nội dung phục vụ Hội thi (2 người x 2 buổi)=6 buổi</t>
  </si>
  <si>
    <t>Giải thưởng Hội thi</t>
  </si>
  <si>
    <t>Giải nhất nộ dung soạn thảo văn bản QLGD</t>
  </si>
  <si>
    <t>Tập thể (3đội x 10 người/đội = 30 người)</t>
  </si>
  <si>
    <t>In ấn tài liệu, giấy khen, khung giấy khen</t>
  </si>
  <si>
    <t>Hóa đơn, danh sách kí nhận</t>
  </si>
  <si>
    <t>Bồi dưỡng cho người dẫn chương trình (1 đêm x 2 người)</t>
  </si>
  <si>
    <t>Thuê trang phục văn nghệ</t>
  </si>
  <si>
    <t>bộ</t>
  </si>
  <si>
    <t xml:space="preserve"> NĂM HỌC 2020- 2021</t>
  </si>
  <si>
    <t xml:space="preserve">DỰ TOÁN KINH PHÍ HỘI THI "SINH VIÊN RÈN NGHỀ" </t>
  </si>
  <si>
    <t>Bổ sung kiến thức dự thi cao học ngành QLGD, khóa 29</t>
  </si>
  <si>
    <t>Bổ sung kiến thức dự thi cao học ngành QLGD, khóa 28, đợt 2</t>
  </si>
  <si>
    <t xml:space="preserve">Khác  </t>
  </si>
  <si>
    <t xml:space="preserve">Hoạt động khác </t>
  </si>
  <si>
    <t>Dự kiến</t>
  </si>
  <si>
    <t>Lễ kỉ niệm 25 năm thành lập khoa Giáo dục</t>
  </si>
  <si>
    <t>Tám trăm ba mươi triệu sáu trăm nghìn đồng</t>
  </si>
  <si>
    <t>Tổ chức các hội nghị, hội thi NVSP, các chuyên đề, lễ kỉ niệm</t>
  </si>
  <si>
    <t>Đ21, CTNB, biểu 5</t>
  </si>
  <si>
    <t>Biểu 4 (gộp chung 2.8)</t>
  </si>
  <si>
    <t>Biểu số  0</t>
  </si>
  <si>
    <t>TÍNH ĐẾN 01/08 2020</t>
  </si>
  <si>
    <t>K</t>
  </si>
  <si>
    <t xml:space="preserve">Bằng chữ: Bảy triệu, tám trăm sáu mươi ngàn đồng </t>
  </si>
  <si>
    <t xml:space="preserve"> Nghiên cứu năng lực nghề nghiệp của tổ trưởng chuyên môn các trường THPT</t>
  </si>
  <si>
    <t>Bồi dưỡng Trưởng phó Phòng</t>
  </si>
  <si>
    <t>Hai mươi lăm tỉ, bảy trăm mười bảy triệu đồng</t>
  </si>
  <si>
    <t>4.1</t>
  </si>
  <si>
    <t>Biểu số 3A</t>
  </si>
  <si>
    <t>Biểu số 3B</t>
  </si>
  <si>
    <t>Biểu số 3C</t>
  </si>
  <si>
    <t>Biểu số 3D</t>
  </si>
  <si>
    <t>Biểu số 3E</t>
  </si>
  <si>
    <t xml:space="preserve"> TRƯỞNG ĐƠN VỊ</t>
  </si>
  <si>
    <t xml:space="preserve">                 BAN GIÁM HIỆU</t>
  </si>
  <si>
    <t>Biểu 8 (70% chi tối đa về Khoa)</t>
  </si>
  <si>
    <t xml:space="preserve">Tập huấn Tự đánh giá CTĐT. </t>
  </si>
  <si>
    <t>Nghiên cứu phát triển chương trình đào tạo trình độ đại học ngành Quản lý giáo dục hệ chính quy (cấp Trường trọng điểm)</t>
  </si>
  <si>
    <t>Bộ môn QLGD</t>
  </si>
  <si>
    <t>4.10</t>
  </si>
  <si>
    <t>Phát triển năng lực xây dựng kế hoạch bài học môn Toán 1 theo định hướng phát triển năng lực cho sinh viên ngành Giáo dục Tiểu học</t>
  </si>
  <si>
    <t>Tâm lý học giáo dục mầm non và tiểu học.</t>
  </si>
  <si>
    <t>Tâm lý học giáo dục trẻ em</t>
  </si>
  <si>
    <t>EDU20007</t>
  </si>
  <si>
    <t>TLH</t>
  </si>
  <si>
    <t>Cán bộ giảng dạy: 36, gồm:</t>
  </si>
  <si>
    <t>CBGD đảm nhận ĐM giờ giảng viên trở lên: 35</t>
  </si>
  <si>
    <t>CBGD đảm nhận ĐM giờ giảng viên: 35</t>
  </si>
  <si>
    <t>05 GV đào tạo trung cấp lí luận chính trị. Cụ thể: TS. Phạm Thị Huyền, TS. Nguyễn Thị Nhân, TS. Dương Thị Thanh Thanh, TS. Nguyễn Tiến Dũng, TS. Bùi Văn Hùng.</t>
  </si>
  <si>
    <t>Tập huấn Chương trình giáo dục phổ thông mới</t>
  </si>
  <si>
    <t>Giảng viên sư phạm chủ chốt và CBQL chủ chốt theo quyết định của Bộ GD&amp;ĐT</t>
  </si>
  <si>
    <t>Bồi dưỡng cao cấp lí luận chính trị</t>
  </si>
  <si>
    <t xml:space="preserve">TS. Phạm Lê Cường, </t>
  </si>
  <si>
    <t>Tập huấn nâng cao năng lực cho giảng viên sư phạm</t>
  </si>
  <si>
    <t>Giảng viên toàn khoa</t>
  </si>
  <si>
    <t xml:space="preserve">Hội nghị tổng kết nhiệm kì trưởng khoa </t>
  </si>
  <si>
    <t>Họp tổng kết nhiệm kì tổ trưởng chuyên môn, bầu tổ trưởng chuyên môn theo nhiệm kì trưởng khoa mới</t>
  </si>
  <si>
    <t>Ưu tiên nam giới. Tốt nghiệp đại học loại khá trở lên và có bằng thạc sĩ đúng chuyên ngành. Tốt nghiệp Đại học trường: ĐHSP Hà Nội; ĐH KHXH và Nhân văn; ĐHSP TP Hồ Chí Minh</t>
  </si>
  <si>
    <t>Ưu tiên nam giới. Tốt nghiệp ĐH các ngành Âm nhạc, Mỹ thuật (loại khá trở lên hoặc có bằng thạc sĩ đúng chuyên ngành)</t>
  </si>
  <si>
    <t>Phan Anh Tuấn, Chế Thị Hải Linh, Nguyễn Trung Kiền, Phan Thị Quỳnh Trang, Nguyễn Thị Phương Thảo, Đặng Thị Tình</t>
  </si>
  <si>
    <t xml:space="preserve">Bồi dưỡng nâng cao năng lực ngoại ngữ  </t>
  </si>
  <si>
    <t>Các tổ bộ môn trong khoa</t>
  </si>
  <si>
    <t>TLĐT CQ, TC</t>
  </si>
  <si>
    <r>
      <t xml:space="preserve">TS. Nguyễn Tiến Dũng, TS. Nguyễn Thị Thu Hằng, TS. Bùi Văn Hùng </t>
    </r>
    <r>
      <rPr>
        <i/>
        <sz val="10"/>
        <rFont val="Times New Roman"/>
        <family val="1"/>
      </rPr>
      <t>(những GV được phân công nhiệm vụ hỗ trợ công tác đào tạo và đảm bảo chất lượng của Khoa Giáo dục)</t>
    </r>
  </si>
  <si>
    <t>Bồi dưỡng nâng cao năng lực đánh giá và đảm bảo chất lượng giáo dục</t>
  </si>
  <si>
    <t>Giảng dạy Dinh dưỡng trẻ em và Bệnh học trẻ em</t>
  </si>
  <si>
    <t>Tốt nghiệp đại học loại giỏi đúng chuyên ngành  hoặc loại khá và có bằng thạc sĩ GDH</t>
  </si>
  <si>
    <t>Tốt nghiệp đại học Y loại khá trở lên.</t>
  </si>
  <si>
    <t>BS. Lê Công Phượng nghỉ hưu từ tháng 08/ 2021</t>
  </si>
  <si>
    <t>GDH tiểu học K60, 61</t>
  </si>
  <si>
    <t>GDH mầm non K60, 61</t>
  </si>
  <si>
    <t xml:space="preserve">Đơn giá các lớp ngành KHXH, GDTH, GDMN </t>
  </si>
  <si>
    <t>Thạc sĩ không tập trung tại trường ĐHV hết 2021</t>
  </si>
  <si>
    <t>Chi cho Đề tài NCKH bằng nguồn kinh phí của trường</t>
  </si>
  <si>
    <t>Tổng thu học phí</t>
  </si>
  <si>
    <t>Tài liệu giáo trình ( 30 TC x 4 trieu/1TC) = (3 Giáo trình 2018)</t>
  </si>
  <si>
    <t>Các khoản thu từ biểu 8 (mở lớp ngắn hạn, cấp chứng chỉ, thu hộ, chi hộ cho các đơn vị,…)</t>
  </si>
  <si>
    <t>CBGD đảm nhận ĐM giờ tập sự (thử việc): 1</t>
  </si>
  <si>
    <t>Tổng số cán bộ của đơn vị: 5, trong đó:</t>
  </si>
  <si>
    <t>Bùi Thị Thùy Dương</t>
  </si>
  <si>
    <t>CBGD đảm nhận ĐM giờ giáo viên: 0.</t>
  </si>
  <si>
    <t>CBGD đảm nhận ĐM giờ giảng viên trở lên: 04</t>
  </si>
  <si>
    <t>CBGD đảm nhận ĐM giờ tập sự (thử việc): 01</t>
  </si>
  <si>
    <t>(Tập sự: 85% lương)</t>
  </si>
  <si>
    <t>06 GV đào tạo GDQP-AN. Cụ thể: TS. Trần Hoàng Yến, TS. Phạm Thị Huyền, TS. Nguyễn Thị Nhân, TS. Dương Thị Thanh Thanh, TS. Nguyễn Tiến Dũng, TS. Bùi Văn Hùng.</t>
  </si>
  <si>
    <t>Học các lớp GDQP-AN đối tượng 3</t>
  </si>
  <si>
    <t>Cộng toàn khoa có 28 CB, GV đi học, trong đó:</t>
  </si>
  <si>
    <t>Có 1 đi học ThS không tập trung trong nước, 1 đi học TS không tập trung trong nước, và 26 giảng viên dự kiến sẽ đi đào tạo, bồi dưỡng khác</t>
  </si>
  <si>
    <t>Số NCS ĐK tuyển mới năm học 2020-2021</t>
  </si>
  <si>
    <t>Đinh Xuân Khoa (2 học viên x 35 tiết/1Hv = 175 tiết)</t>
  </si>
  <si>
    <t>Trần Viết Thụ (2 học viên x 35 tiết/1Hv = 175 tiết)</t>
  </si>
  <si>
    <t>Phạm Thị Phú (2 học viên x 35 tiết/1Hv = 175 tiết)</t>
  </si>
  <si>
    <t>Tổng số cán bộ của đơn vị: 39, trong đó:</t>
  </si>
  <si>
    <t>Cán bộ giảng dạy: 37, gồm:</t>
  </si>
  <si>
    <t>CBGD tập sự: 01</t>
  </si>
  <si>
    <t>Có 05 Giảng viên, trong đó:</t>
  </si>
  <si>
    <t>Đơn vị tính:  nghìn đồng</t>
  </si>
  <si>
    <t>Phụ lục 1</t>
  </si>
  <si>
    <t>Văn phòng phẩm (VPP cho cán bộ, SV, HV)</t>
  </si>
  <si>
    <t>Văn phòng phẩm cho cán bộ Khoa, tiền phấn</t>
  </si>
  <si>
    <t>Điều 27, khoản 1 QC 1585</t>
  </si>
  <si>
    <t>Văn phòng phẩm cho SV-HV hệ tập trung tại trường</t>
  </si>
  <si>
    <t>Chín mươi ba triệu sáu trăm sáu mươi hai ngàn đồng</t>
  </si>
  <si>
    <t>QC 1585</t>
  </si>
  <si>
    <t>Bảy mươi tư tỉ, hai trăm bảy mươi lăm triệu, bốn trăm bảy mươi ba ngàn đồng</t>
  </si>
  <si>
    <t>Sử dụng một số kĩ thuật dạy học tích cực trong việc rèn luyện kĩ năng nói cho học sinh tiểu học</t>
  </si>
  <si>
    <t>Một tỉ năm trăm hai mươi lăm triệu đồng</t>
  </si>
  <si>
    <t>Ba mươi tám tỉ, hai trăm năm mươi bảy triệu, bốn trăm chín mươi chín nghìn đồng.</t>
  </si>
  <si>
    <t>Tốt nghiệp ĐH ngành Ngữ văn (loại giỏi hoặc loại khá và có bằng thạc sĩ chuyên ngành ngôn ngữ học, ưu tiên tuyển thẳng ứng viên có bằng Tiến sỹ chuyên ngành ngôn ngữ học)</t>
  </si>
  <si>
    <t>Tốt nghiệp ĐH ngành GDTH loại giỏi và có bằng thạc sĩ đúng chuyên ngành, ưu tiên tuyển thẳng ứng viên có bằng Tiến sỹ phù hợp với chuyên ngành)</t>
  </si>
  <si>
    <t>Phụ lục 2</t>
  </si>
  <si>
    <t>Phụ lục 3</t>
  </si>
  <si>
    <t>Phụ lục 4</t>
  </si>
  <si>
    <t>Phụ lục 5</t>
  </si>
  <si>
    <t>Phụ lục 6</t>
  </si>
  <si>
    <t>Phụ lục 7</t>
  </si>
  <si>
    <t>Phụ lục 8</t>
  </si>
  <si>
    <t>Phụ lục 9</t>
  </si>
  <si>
    <t>Phụ lục 10</t>
  </si>
  <si>
    <t>Phụ lục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</si>
</sst>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0.000000"/>
    <numFmt numFmtId="166" formatCode="0.0"/>
    <numFmt numFmtId="167" formatCode="_-* #,##0\ _₫_-;\-* #,##0\ _₫_-;_-* &quot;-&quot;??\ _₫_-;_-@_-"/>
    <numFmt numFmtId="168" formatCode="#,##0;[Red]#,##0"/>
  </numFmts>
  <fonts count="115">
    <font>
      <sz val="10"/>
      <name val="Arial"/>
    </font>
    <font>
      <sz val="10"/>
      <name val="Arial"/>
      <family val="2"/>
    </font>
    <font>
      <b/>
      <sz val="10"/>
      <name val="Arial"/>
      <family val="2"/>
    </font>
    <font>
      <sz val="8"/>
      <name val="Arial"/>
      <family val="2"/>
    </font>
    <font>
      <sz val="10"/>
      <name val="Arial"/>
      <family val="2"/>
    </font>
    <font>
      <sz val="10"/>
      <name val="Times New Roman"/>
      <family val="1"/>
    </font>
    <font>
      <b/>
      <sz val="10"/>
      <name val="Times New Roman"/>
      <family val="1"/>
    </font>
    <font>
      <sz val="10"/>
      <color indexed="8"/>
      <name val="Times New Roman"/>
      <family val="1"/>
    </font>
    <font>
      <b/>
      <sz val="10"/>
      <color indexed="8"/>
      <name val="Times New Roman"/>
      <family val="1"/>
    </font>
    <font>
      <sz val="12"/>
      <name val="Times New Roman"/>
      <family val="1"/>
    </font>
    <font>
      <sz val="12"/>
      <color indexed="8"/>
      <name val="Times New Roman"/>
      <family val="1"/>
    </font>
    <font>
      <b/>
      <sz val="12"/>
      <color indexed="8"/>
      <name val="Times New Roman"/>
      <family val="1"/>
    </font>
    <font>
      <sz val="11"/>
      <name val="Times New Roman"/>
      <family val="1"/>
    </font>
    <font>
      <b/>
      <sz val="11"/>
      <name val="Times New Roman"/>
      <family val="1"/>
    </font>
    <font>
      <b/>
      <sz val="12"/>
      <name val="Times New Roman"/>
      <family val="1"/>
    </font>
    <font>
      <b/>
      <sz val="11"/>
      <color indexed="8"/>
      <name val="Times New Roman"/>
      <family val="1"/>
    </font>
    <font>
      <sz val="11"/>
      <color indexed="8"/>
      <name val="Times New Roman"/>
      <family val="1"/>
    </font>
    <font>
      <i/>
      <sz val="12"/>
      <name val="Times New Roman"/>
      <family val="1"/>
    </font>
    <font>
      <sz val="14"/>
      <name val="Times New Roman"/>
      <family val="1"/>
    </font>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sz val="12"/>
      <color theme="1"/>
      <name val="Times New Roman"/>
      <family val="1"/>
    </font>
    <font>
      <sz val="12"/>
      <color theme="1"/>
      <name val="Times New Roman"/>
      <family val="1"/>
    </font>
    <font>
      <b/>
      <sz val="11"/>
      <color theme="1"/>
      <name val="Times New Roman"/>
      <family val="1"/>
    </font>
    <font>
      <sz val="11"/>
      <color theme="1"/>
      <name val="Times New Roman"/>
      <family val="1"/>
    </font>
    <font>
      <sz val="14"/>
      <color theme="1"/>
      <name val="Times New Roman"/>
      <family val="1"/>
    </font>
    <font>
      <b/>
      <sz val="8"/>
      <color theme="1"/>
      <name val="Times New Roman"/>
      <family val="1"/>
    </font>
    <font>
      <i/>
      <sz val="12"/>
      <color theme="1"/>
      <name val="Times New Roman"/>
      <family val="1"/>
    </font>
    <font>
      <sz val="11"/>
      <color rgb="FFFF0000"/>
      <name val="Times New Roman"/>
      <family val="1"/>
    </font>
    <font>
      <sz val="10"/>
      <color rgb="FFFF0000"/>
      <name val="Times New Roman"/>
      <family val="1"/>
    </font>
    <font>
      <b/>
      <i/>
      <sz val="10"/>
      <color theme="1"/>
      <name val="Times New Roman"/>
      <family val="1"/>
    </font>
    <font>
      <sz val="10"/>
      <color rgb="FF000000"/>
      <name val="Times New Roman"/>
      <family val="1"/>
    </font>
    <font>
      <i/>
      <sz val="10"/>
      <name val="Times New Roman"/>
      <family val="1"/>
    </font>
    <font>
      <b/>
      <sz val="10"/>
      <color rgb="FF000000"/>
      <name val="Times New Roman"/>
      <family val="1"/>
    </font>
    <font>
      <u/>
      <sz val="10"/>
      <color theme="10"/>
      <name val="Arial"/>
      <family val="2"/>
    </font>
    <font>
      <u/>
      <sz val="10"/>
      <color theme="11"/>
      <name val="Arial"/>
      <family val="2"/>
    </font>
    <font>
      <b/>
      <sz val="14"/>
      <color theme="1"/>
      <name val="Times New Roman"/>
      <family val="1"/>
    </font>
    <font>
      <sz val="10"/>
      <name val="Arial"/>
      <family val="2"/>
    </font>
    <font>
      <sz val="9"/>
      <color theme="1"/>
      <name val="Times New Roman"/>
      <family val="1"/>
    </font>
    <font>
      <b/>
      <i/>
      <sz val="10"/>
      <name val="Times New Roman"/>
      <family val="1"/>
    </font>
    <font>
      <b/>
      <sz val="10"/>
      <color rgb="FFFF0000"/>
      <name val="Times New Roman"/>
      <family val="1"/>
    </font>
    <font>
      <b/>
      <sz val="10"/>
      <color rgb="FFFF0000"/>
      <name val="Arial"/>
      <family val="2"/>
    </font>
    <font>
      <sz val="10"/>
      <color rgb="FFFF0000"/>
      <name val="Arial"/>
      <family val="2"/>
    </font>
    <font>
      <sz val="9"/>
      <color rgb="FFFF0000"/>
      <name val="Times New Roman"/>
      <family val="1"/>
    </font>
    <font>
      <b/>
      <i/>
      <sz val="11"/>
      <name val="Times New Roman"/>
      <family val="1"/>
    </font>
    <font>
      <i/>
      <sz val="11"/>
      <name val="Times New Roman"/>
      <family val="1"/>
    </font>
    <font>
      <sz val="9"/>
      <name val="Times New Roman"/>
      <family val="1"/>
    </font>
    <font>
      <b/>
      <sz val="11"/>
      <color rgb="FFFF0000"/>
      <name val="Times New Roman"/>
      <family val="1"/>
    </font>
    <font>
      <b/>
      <sz val="9"/>
      <color theme="1"/>
      <name val="Times New Roman"/>
      <family val="1"/>
    </font>
    <font>
      <sz val="12"/>
      <name val="Arial"/>
      <family val="2"/>
    </font>
    <font>
      <b/>
      <sz val="12"/>
      <name val="Arial"/>
      <family val="2"/>
    </font>
    <font>
      <b/>
      <i/>
      <sz val="12"/>
      <color theme="1"/>
      <name val="Times New Roman"/>
      <family val="1"/>
    </font>
    <font>
      <sz val="12"/>
      <color rgb="FF000000"/>
      <name val="Times New Roman"/>
      <family val="1"/>
    </font>
    <font>
      <sz val="10"/>
      <color theme="1"/>
      <name val="Arial"/>
      <family val="2"/>
    </font>
    <font>
      <b/>
      <sz val="9"/>
      <color rgb="FF000000"/>
      <name val="Tahoma"/>
      <family val="2"/>
    </font>
    <font>
      <sz val="9"/>
      <color rgb="FF000000"/>
      <name val="Tahoma"/>
      <family val="2"/>
    </font>
    <font>
      <b/>
      <sz val="10"/>
      <color theme="1"/>
      <name val="Arial"/>
      <family val="2"/>
    </font>
    <font>
      <sz val="10"/>
      <name val="Cambria"/>
      <family val="1"/>
      <charset val="163"/>
      <scheme val="major"/>
    </font>
    <font>
      <sz val="10"/>
      <name val="Times New Roman"/>
      <family val="1"/>
      <charset val="163"/>
    </font>
    <font>
      <sz val="12"/>
      <name val="Times New Roman"/>
      <family val="1"/>
      <charset val="163"/>
    </font>
    <font>
      <sz val="11"/>
      <name val="Times New Roman"/>
      <family val="1"/>
      <charset val="163"/>
    </font>
    <font>
      <b/>
      <sz val="11"/>
      <name val="Times New Roman"/>
      <family val="1"/>
      <charset val="163"/>
    </font>
    <font>
      <sz val="11"/>
      <name val="Arial"/>
      <family val="2"/>
    </font>
    <font>
      <b/>
      <sz val="12"/>
      <name val="Times New Roman"/>
      <family val="1"/>
      <charset val="163"/>
    </font>
    <font>
      <b/>
      <sz val="10"/>
      <name val="Times New Roman"/>
      <family val="1"/>
      <charset val="163"/>
    </font>
    <font>
      <sz val="10"/>
      <name val="Arial"/>
      <family val="2"/>
      <charset val="163"/>
    </font>
    <font>
      <b/>
      <i/>
      <sz val="12"/>
      <name val="Times New Roman"/>
      <family val="1"/>
    </font>
    <font>
      <i/>
      <sz val="10"/>
      <name val="Arial"/>
      <family val="2"/>
    </font>
    <font>
      <i/>
      <sz val="12"/>
      <name val="Times New Roman"/>
      <family val="1"/>
      <charset val="163"/>
    </font>
    <font>
      <b/>
      <sz val="16"/>
      <name val="Times New Roman"/>
      <family val="1"/>
    </font>
    <font>
      <b/>
      <i/>
      <sz val="12"/>
      <color indexed="8"/>
      <name val="Times New Roman"/>
      <family val="1"/>
    </font>
    <font>
      <i/>
      <sz val="12"/>
      <color indexed="8"/>
      <name val="Times New Roman"/>
      <family val="1"/>
    </font>
    <font>
      <b/>
      <u/>
      <sz val="12"/>
      <color indexed="8"/>
      <name val="Times New Roman"/>
      <family val="1"/>
    </font>
    <font>
      <sz val="12"/>
      <color indexed="8"/>
      <name val="Times New Roman"/>
      <family val="1"/>
      <charset val="163"/>
    </font>
    <font>
      <i/>
      <sz val="12"/>
      <color indexed="8"/>
      <name val="Times New Roman"/>
      <family val="1"/>
      <charset val="163"/>
    </font>
    <font>
      <sz val="13"/>
      <name val="Times New Roman"/>
      <family val="1"/>
    </font>
    <font>
      <b/>
      <sz val="9"/>
      <name val="Times New Roman"/>
      <family val="1"/>
    </font>
    <font>
      <sz val="8"/>
      <name val="Times New Roman"/>
      <family val="1"/>
    </font>
    <font>
      <sz val="11"/>
      <color theme="1"/>
      <name val="Times New Roman"/>
      <family val="1"/>
      <charset val="163"/>
    </font>
    <font>
      <b/>
      <i/>
      <sz val="14"/>
      <name val="Times New Roman"/>
      <family val="1"/>
    </font>
    <font>
      <b/>
      <sz val="14"/>
      <name val="Times New Roman"/>
      <family val="1"/>
    </font>
    <font>
      <b/>
      <sz val="12"/>
      <name val=".VnTimeH"/>
      <family val="2"/>
    </font>
    <font>
      <b/>
      <u/>
      <sz val="14"/>
      <name val="Times New Roman"/>
      <family val="1"/>
    </font>
    <font>
      <b/>
      <u/>
      <sz val="14"/>
      <name val=".VnTime"/>
      <family val="2"/>
    </font>
    <font>
      <b/>
      <sz val="12"/>
      <name val=".VnTime"/>
      <family val="2"/>
    </font>
    <font>
      <b/>
      <sz val="18"/>
      <name val="Times New Roman"/>
      <family val="1"/>
    </font>
    <font>
      <b/>
      <sz val="18"/>
      <name val=".VnTimeH"/>
      <family val="2"/>
    </font>
    <font>
      <b/>
      <sz val="14"/>
      <name val=".VnTimeH"/>
      <family val="2"/>
    </font>
    <font>
      <sz val="16"/>
      <name val=".VnTime"/>
      <family val="2"/>
    </font>
    <font>
      <b/>
      <sz val="13"/>
      <name val="Times New Roman"/>
      <family val="1"/>
    </font>
    <font>
      <sz val="13"/>
      <name val="Arial"/>
      <family val="2"/>
    </font>
    <font>
      <b/>
      <i/>
      <sz val="12"/>
      <name val="Times New Roman"/>
      <family val="1"/>
      <charset val="163"/>
    </font>
    <font>
      <b/>
      <i/>
      <sz val="13"/>
      <name val="Times New Roman"/>
      <family val="1"/>
      <charset val="163"/>
    </font>
    <font>
      <b/>
      <i/>
      <sz val="13"/>
      <name val="Arial"/>
      <family val="2"/>
    </font>
    <font>
      <sz val="9"/>
      <color indexed="63"/>
      <name val="Arial"/>
      <family val="2"/>
    </font>
    <font>
      <sz val="12"/>
      <color rgb="FFFF0000"/>
      <name val="Times New Roman"/>
      <family val="2"/>
    </font>
    <font>
      <sz val="12"/>
      <name val="Times New Roman"/>
      <family val="2"/>
    </font>
    <font>
      <b/>
      <sz val="12"/>
      <name val="Times New Roman"/>
      <family val="2"/>
    </font>
    <font>
      <b/>
      <sz val="12"/>
      <color rgb="FFFF0000"/>
      <name val="Times New Roman"/>
      <family val="1"/>
    </font>
    <font>
      <sz val="11"/>
      <name val="Times New Roman"/>
      <family val="2"/>
    </font>
    <font>
      <b/>
      <i/>
      <sz val="12"/>
      <name val="Times New Roman"/>
      <family val="2"/>
    </font>
    <font>
      <b/>
      <sz val="12"/>
      <color rgb="FFFF0000"/>
      <name val="Times New Roman"/>
      <family val="2"/>
    </font>
    <font>
      <sz val="11"/>
      <name val="Calibri"/>
      <family val="2"/>
      <scheme val="minor"/>
    </font>
    <font>
      <sz val="12"/>
      <name val="Calibri"/>
      <family val="2"/>
      <scheme val="minor"/>
    </font>
    <font>
      <sz val="11"/>
      <color rgb="FFFF0000"/>
      <name val="Calibri"/>
      <family val="2"/>
      <scheme val="minor"/>
    </font>
    <font>
      <sz val="11"/>
      <color rgb="FF000000"/>
      <name val="Times New Roman"/>
      <family val="1"/>
    </font>
    <font>
      <b/>
      <sz val="11"/>
      <name val="Arial"/>
      <family val="2"/>
    </font>
    <font>
      <sz val="10"/>
      <color theme="1"/>
      <name val="Times New Roman"/>
      <family val="1"/>
      <charset val="163"/>
    </font>
    <font>
      <sz val="10"/>
      <color indexed="8"/>
      <name val="Times New Roman"/>
      <family val="1"/>
      <charset val="163"/>
    </font>
    <font>
      <sz val="12"/>
      <color theme="1"/>
      <name val="Times New Roman"/>
      <family val="1"/>
      <charset val="163"/>
    </font>
    <font>
      <sz val="12"/>
      <color rgb="FFFF0000"/>
      <name val="Times New Roman"/>
      <family val="1"/>
    </font>
    <font>
      <i/>
      <sz val="12"/>
      <color rgb="FFFF0000"/>
      <name val="Times New Roman"/>
      <family val="1"/>
    </font>
  </fonts>
  <fills count="11">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rgb="FFCCFFCC"/>
        <bgColor indexed="64"/>
      </patternFill>
    </fill>
    <fill>
      <patternFill patternType="solid">
        <fgColor rgb="FFFFFF00"/>
        <bgColor rgb="FF000000"/>
      </patternFill>
    </fill>
    <fill>
      <patternFill patternType="solid">
        <fgColor rgb="FFFFFFFF"/>
        <bgColor indexed="64"/>
      </patternFill>
    </fill>
    <fill>
      <patternFill patternType="solid">
        <fgColor rgb="FF92D050"/>
        <bgColor indexed="64"/>
      </patternFill>
    </fill>
  </fills>
  <borders count="160">
    <border>
      <left/>
      <right/>
      <top/>
      <bottom/>
      <diagonal/>
    </border>
    <border>
      <left style="thin">
        <color indexed="8"/>
      </left>
      <right style="thin">
        <color indexed="8"/>
      </right>
      <top/>
      <bottom style="hair">
        <color indexed="8"/>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indexed="8"/>
      </right>
      <top/>
      <bottom style="hair">
        <color indexed="8"/>
      </bottom>
      <diagonal/>
    </border>
    <border>
      <left style="thin">
        <color indexed="8"/>
      </left>
      <right style="double">
        <color auto="1"/>
      </right>
      <top/>
      <bottom style="hair">
        <color indexed="8"/>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auto="1"/>
      </right>
      <top style="hair">
        <color indexed="8"/>
      </top>
      <bottom style="hair">
        <color indexed="8"/>
      </bottom>
      <diagonal/>
    </border>
    <border>
      <left style="thin">
        <color indexed="8"/>
      </left>
      <right style="thin">
        <color indexed="8"/>
      </right>
      <top style="thin">
        <color indexed="8"/>
      </top>
      <bottom style="double">
        <color auto="1"/>
      </bottom>
      <diagonal/>
    </border>
    <border>
      <left style="thin">
        <color indexed="8"/>
      </left>
      <right style="double">
        <color auto="1"/>
      </right>
      <top style="thin">
        <color indexed="8"/>
      </top>
      <bottom style="double">
        <color auto="1"/>
      </bottom>
      <diagonal/>
    </border>
    <border>
      <left style="double">
        <color auto="1"/>
      </left>
      <right style="thin">
        <color auto="1"/>
      </right>
      <top style="hair">
        <color auto="1"/>
      </top>
      <bottom/>
      <diagonal/>
    </border>
    <border>
      <left style="thin">
        <color auto="1"/>
      </left>
      <right style="double">
        <color auto="1"/>
      </right>
      <top style="hair">
        <color auto="1"/>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style="hair">
        <color auto="1"/>
      </top>
      <bottom style="double">
        <color auto="1"/>
      </bottom>
      <diagonal/>
    </border>
    <border>
      <left style="double">
        <color auto="1"/>
      </left>
      <right style="thin">
        <color auto="1"/>
      </right>
      <top/>
      <bottom style="hair">
        <color auto="1"/>
      </bottom>
      <diagonal/>
    </border>
    <border>
      <left style="thin">
        <color auto="1"/>
      </left>
      <right style="double">
        <color auto="1"/>
      </right>
      <top/>
      <bottom style="hair">
        <color auto="1"/>
      </bottom>
      <diagonal/>
    </border>
    <border>
      <left style="thin">
        <color auto="1"/>
      </left>
      <right style="double">
        <color auto="1"/>
      </right>
      <top style="hair">
        <color auto="1"/>
      </top>
      <bottom style="thin">
        <color auto="1"/>
      </bottom>
      <diagonal/>
    </border>
    <border>
      <left style="double">
        <color auto="1"/>
      </left>
      <right style="thin">
        <color auto="1"/>
      </right>
      <top/>
      <bottom/>
      <diagonal/>
    </border>
    <border>
      <left/>
      <right/>
      <top style="double">
        <color auto="1"/>
      </top>
      <bottom/>
      <diagonal/>
    </border>
    <border>
      <left style="double">
        <color auto="1"/>
      </left>
      <right style="thin">
        <color indexed="8"/>
      </right>
      <top style="thin">
        <color indexed="8"/>
      </top>
      <bottom style="double">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hair">
        <color indexed="64"/>
      </right>
      <top/>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hair">
        <color auto="1"/>
      </top>
      <bottom/>
      <diagonal/>
    </border>
    <border>
      <left style="double">
        <color auto="1"/>
      </left>
      <right style="thin">
        <color indexed="8"/>
      </right>
      <top style="hair">
        <color auto="1"/>
      </top>
      <bottom style="hair">
        <color auto="1"/>
      </bottom>
      <diagonal/>
    </border>
    <border>
      <left style="thin">
        <color indexed="8"/>
      </left>
      <right style="thin">
        <color indexed="8"/>
      </right>
      <top style="hair">
        <color auto="1"/>
      </top>
      <bottom style="hair">
        <color auto="1"/>
      </bottom>
      <diagonal/>
    </border>
    <border>
      <left/>
      <right/>
      <top style="hair">
        <color auto="1"/>
      </top>
      <bottom style="hair">
        <color auto="1"/>
      </bottom>
      <diagonal/>
    </border>
    <border>
      <left style="double">
        <color auto="1"/>
      </left>
      <right style="thin">
        <color indexed="8"/>
      </right>
      <top style="hair">
        <color auto="1"/>
      </top>
      <bottom style="thin">
        <color indexed="8"/>
      </bottom>
      <diagonal/>
    </border>
    <border>
      <left style="thin">
        <color indexed="8"/>
      </left>
      <right style="thin">
        <color indexed="8"/>
      </right>
      <top style="hair">
        <color auto="1"/>
      </top>
      <bottom style="thin">
        <color indexed="8"/>
      </bottom>
      <diagonal/>
    </border>
    <border>
      <left style="thin">
        <color indexed="8"/>
      </left>
      <right style="double">
        <color auto="1"/>
      </right>
      <top style="hair">
        <color auto="1"/>
      </top>
      <bottom style="thin">
        <color indexed="8"/>
      </bottom>
      <diagonal/>
    </border>
    <border>
      <left style="double">
        <color auto="1"/>
      </left>
      <right style="thin">
        <color indexed="8"/>
      </right>
      <top/>
      <bottom style="hair">
        <color auto="1"/>
      </bottom>
      <diagonal/>
    </border>
    <border>
      <left/>
      <right/>
      <top/>
      <bottom style="hair">
        <color auto="1"/>
      </bottom>
      <diagonal/>
    </border>
    <border>
      <left/>
      <right/>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auto="1"/>
      </left>
      <right style="thin">
        <color auto="1"/>
      </right>
      <top style="hair">
        <color indexed="8"/>
      </top>
      <bottom style="thin">
        <color indexed="8"/>
      </bottom>
      <diagonal/>
    </border>
    <border>
      <left style="thin">
        <color indexed="8"/>
      </left>
      <right style="double">
        <color auto="1"/>
      </right>
      <top style="hair">
        <color indexed="8"/>
      </top>
      <bottom style="thin">
        <color indexed="8"/>
      </bottom>
      <diagonal/>
    </border>
    <border>
      <left style="double">
        <color auto="1"/>
      </left>
      <right style="thin">
        <color indexed="8"/>
      </right>
      <top style="hair">
        <color indexed="8"/>
      </top>
      <bottom style="thin">
        <color indexed="8"/>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double">
        <color auto="1"/>
      </right>
      <top/>
      <bottom/>
      <diagonal/>
    </border>
    <border>
      <left style="thin">
        <color auto="1"/>
      </left>
      <right style="thin">
        <color auto="1"/>
      </right>
      <top style="hair">
        <color indexed="8"/>
      </top>
      <bottom style="hair">
        <color indexed="8"/>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auto="1"/>
      </left>
      <right/>
      <top/>
      <bottom/>
      <diagonal/>
    </border>
    <border>
      <left/>
      <right/>
      <top style="thin">
        <color auto="1"/>
      </top>
      <bottom style="hair">
        <color auto="1"/>
      </bottom>
      <diagonal/>
    </border>
    <border>
      <left style="double">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style="thin">
        <color indexed="8"/>
      </right>
      <top style="hair">
        <color auto="1"/>
      </top>
      <bottom style="hair">
        <color auto="1"/>
      </bottom>
      <diagonal/>
    </border>
    <border>
      <left style="double">
        <color auto="1"/>
      </left>
      <right style="thin">
        <color indexed="8"/>
      </right>
      <top style="thin">
        <color indexed="8"/>
      </top>
      <bottom style="double">
        <color auto="1"/>
      </bottom>
      <diagonal/>
    </border>
    <border>
      <left style="thin">
        <color indexed="8"/>
      </left>
      <right style="thin">
        <color indexed="8"/>
      </right>
      <top style="thin">
        <color indexed="8"/>
      </top>
      <bottom style="double">
        <color auto="1"/>
      </bottom>
      <diagonal/>
    </border>
    <border>
      <left style="thin">
        <color indexed="8"/>
      </left>
      <right style="double">
        <color auto="1"/>
      </right>
      <top style="thin">
        <color indexed="8"/>
      </top>
      <bottom style="double">
        <color auto="1"/>
      </bottom>
      <diagonal/>
    </border>
    <border>
      <left style="double">
        <color auto="1"/>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auto="1"/>
      </right>
      <top/>
      <bottom style="hair">
        <color indexed="8"/>
      </bottom>
      <diagonal/>
    </border>
    <border>
      <left style="thin">
        <color auto="1"/>
      </left>
      <right style="thin">
        <color auto="1"/>
      </right>
      <top style="thin">
        <color auto="1"/>
      </top>
      <bottom style="hair">
        <color indexed="8"/>
      </bottom>
      <diagonal/>
    </border>
    <border>
      <left style="thin">
        <color auto="1"/>
      </left>
      <right style="double">
        <color auto="1"/>
      </right>
      <top style="thin">
        <color auto="1"/>
      </top>
      <bottom style="hair">
        <color indexed="8"/>
      </bottom>
      <diagonal/>
    </border>
    <border>
      <left style="thin">
        <color auto="1"/>
      </left>
      <right style="double">
        <color auto="1"/>
      </right>
      <top style="hair">
        <color indexed="8"/>
      </top>
      <bottom style="hair">
        <color indexed="8"/>
      </bottom>
      <diagonal/>
    </border>
    <border>
      <left style="double">
        <color auto="1"/>
      </left>
      <right/>
      <top style="hair">
        <color indexed="8"/>
      </top>
      <bottom style="thin">
        <color indexed="8"/>
      </bottom>
      <diagonal/>
    </border>
    <border>
      <left style="double">
        <color auto="1"/>
      </left>
      <right/>
      <top/>
      <bottom style="hair">
        <color indexed="8"/>
      </bottom>
      <diagonal/>
    </border>
    <border>
      <left style="thin">
        <color auto="1"/>
      </left>
      <right style="double">
        <color auto="1"/>
      </right>
      <top style="hair">
        <color indexed="8"/>
      </top>
      <bottom style="thin">
        <color indexed="8"/>
      </bottom>
      <diagonal/>
    </border>
    <border>
      <left style="double">
        <color auto="1"/>
      </left>
      <right style="thin">
        <color indexed="8"/>
      </right>
      <top/>
      <bottom style="hair">
        <color auto="1"/>
      </bottom>
      <diagonal/>
    </border>
    <border>
      <left/>
      <right/>
      <top/>
      <bottom style="hair">
        <color auto="1"/>
      </bottom>
      <diagonal/>
    </border>
    <border>
      <left/>
      <right style="double">
        <color auto="1"/>
      </right>
      <top style="hair">
        <color auto="1"/>
      </top>
      <bottom style="hair">
        <color auto="1"/>
      </bottom>
      <diagonal/>
    </border>
    <border>
      <left/>
      <right style="double">
        <color auto="1"/>
      </right>
      <top/>
      <bottom/>
      <diagonal/>
    </border>
    <border>
      <left style="double">
        <color auto="1"/>
      </left>
      <right style="thin">
        <color indexed="64"/>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8"/>
      </left>
      <right style="thin">
        <color indexed="8"/>
      </right>
      <top/>
      <bottom style="double">
        <color auto="1"/>
      </bottom>
      <diagonal/>
    </border>
    <border>
      <left style="thin">
        <color indexed="8"/>
      </left>
      <right style="double">
        <color auto="1"/>
      </right>
      <top/>
      <bottom style="double">
        <color auto="1"/>
      </bottom>
      <diagonal/>
    </border>
    <border>
      <left style="double">
        <color auto="1"/>
      </left>
      <right style="thin">
        <color indexed="8"/>
      </right>
      <top style="hair">
        <color auto="1"/>
      </top>
      <bottom style="dashed">
        <color auto="1"/>
      </bottom>
      <diagonal/>
    </border>
    <border>
      <left style="thin">
        <color indexed="8"/>
      </left>
      <right style="thin">
        <color indexed="8"/>
      </right>
      <top style="hair">
        <color auto="1"/>
      </top>
      <bottom style="dashed">
        <color auto="1"/>
      </bottom>
      <diagonal/>
    </border>
    <border>
      <left style="thin">
        <color indexed="8"/>
      </left>
      <right style="double">
        <color auto="1"/>
      </right>
      <top style="hair">
        <color auto="1"/>
      </top>
      <bottom style="dashed">
        <color auto="1"/>
      </bottom>
      <diagonal/>
    </border>
    <border>
      <left style="double">
        <color auto="1"/>
      </left>
      <right style="thin">
        <color indexed="8"/>
      </right>
      <top style="dashed">
        <color auto="1"/>
      </top>
      <bottom style="dashed">
        <color auto="1"/>
      </bottom>
      <diagonal/>
    </border>
    <border>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style="dashed">
        <color auto="1"/>
      </bottom>
      <diagonal/>
    </border>
    <border>
      <left style="double">
        <color auto="1"/>
      </left>
      <right style="thin">
        <color indexed="8"/>
      </right>
      <top/>
      <bottom style="double">
        <color auto="1"/>
      </bottom>
      <diagonal/>
    </border>
    <border>
      <left style="double">
        <color auto="1"/>
      </left>
      <right style="thin">
        <color indexed="8"/>
      </right>
      <top style="dashed">
        <color auto="1"/>
      </top>
      <bottom style="thin">
        <color indexed="64"/>
      </bottom>
      <diagonal/>
    </border>
    <border>
      <left/>
      <right/>
      <top style="dashed">
        <color auto="1"/>
      </top>
      <bottom style="thin">
        <color indexed="64"/>
      </bottom>
      <diagonal/>
    </border>
    <border>
      <left/>
      <right style="thin">
        <color auto="1"/>
      </right>
      <top style="hair">
        <color auto="1"/>
      </top>
      <bottom style="thin">
        <color auto="1"/>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597">
    <xf numFmtId="0" fontId="0" fillId="0" borderId="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0" fontId="19" fillId="0" borderId="0"/>
    <xf numFmtId="0" fontId="4" fillId="0" borderId="0"/>
    <xf numFmtId="0" fontId="19" fillId="0" borderId="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cellStyleXfs>
  <cellXfs count="2040">
    <xf numFmtId="0" fontId="0" fillId="0" borderId="0" xfId="0"/>
    <xf numFmtId="0" fontId="0" fillId="0" borderId="0" xfId="0" applyAlignment="1">
      <alignment horizontal="center"/>
    </xf>
    <xf numFmtId="0" fontId="0" fillId="0" borderId="0" xfId="0" applyAlignment="1">
      <alignment wrapText="1"/>
    </xf>
    <xf numFmtId="0" fontId="2" fillId="0" borderId="0" xfId="0" applyFont="1" applyAlignment="1">
      <alignment vertical="top"/>
    </xf>
    <xf numFmtId="0" fontId="4" fillId="0" borderId="0" xfId="0" applyFont="1" applyAlignment="1">
      <alignment vertical="top"/>
    </xf>
    <xf numFmtId="0" fontId="5" fillId="0" borderId="0" xfId="0" applyFont="1" applyAlignment="1">
      <alignment horizontal="center"/>
    </xf>
    <xf numFmtId="0" fontId="5" fillId="0" borderId="0" xfId="0" applyFont="1"/>
    <xf numFmtId="0" fontId="5" fillId="0" borderId="0" xfId="0" applyFont="1" applyAlignment="1">
      <alignment wrapText="1"/>
    </xf>
    <xf numFmtId="0" fontId="6" fillId="0" borderId="0" xfId="0" applyFont="1" applyAlignment="1">
      <alignment vertical="top"/>
    </xf>
    <xf numFmtId="0" fontId="5" fillId="0" borderId="0" xfId="0" applyFont="1" applyAlignment="1">
      <alignment vertical="top"/>
    </xf>
    <xf numFmtId="0" fontId="21" fillId="0" borderId="0" xfId="0" applyFont="1" applyAlignment="1">
      <alignment wrapText="1"/>
    </xf>
    <xf numFmtId="0" fontId="21" fillId="0" borderId="0" xfId="0" applyFont="1"/>
    <xf numFmtId="0" fontId="22" fillId="0" borderId="0" xfId="0" applyFont="1" applyAlignment="1">
      <alignment vertical="top"/>
    </xf>
    <xf numFmtId="0" fontId="21" fillId="0" borderId="0" xfId="0" applyFont="1" applyAlignment="1">
      <alignment vertical="top"/>
    </xf>
    <xf numFmtId="0" fontId="21" fillId="0" borderId="0" xfId="0" applyFont="1" applyAlignment="1">
      <alignment horizontal="center"/>
    </xf>
    <xf numFmtId="0" fontId="22" fillId="0" borderId="0" xfId="0" applyFont="1" applyAlignment="1">
      <alignment wrapText="1"/>
    </xf>
    <xf numFmtId="165" fontId="21" fillId="0" borderId="0" xfId="0" applyNumberFormat="1" applyFont="1" applyAlignment="1">
      <alignment wrapText="1"/>
    </xf>
    <xf numFmtId="0" fontId="0" fillId="0" borderId="2" xfId="0" applyBorder="1"/>
    <xf numFmtId="0" fontId="0" fillId="0" borderId="0" xfId="0" applyBorder="1"/>
    <xf numFmtId="164" fontId="21" fillId="0" borderId="3" xfId="1" applyNumberFormat="1" applyFont="1" applyBorder="1" applyAlignment="1">
      <alignment horizontal="left" vertical="center" wrapText="1"/>
    </xf>
    <xf numFmtId="164" fontId="22" fillId="0" borderId="4" xfId="1" applyNumberFormat="1" applyFont="1" applyBorder="1" applyAlignment="1">
      <alignment horizontal="center" vertical="center" wrapText="1"/>
    </xf>
    <xf numFmtId="164" fontId="21" fillId="0" borderId="4" xfId="1" applyNumberFormat="1" applyFont="1" applyBorder="1" applyAlignment="1">
      <alignment horizontal="left" vertical="center" wrapText="1"/>
    </xf>
    <xf numFmtId="164" fontId="22" fillId="0" borderId="3" xfId="1" applyNumberFormat="1" applyFont="1" applyBorder="1" applyAlignment="1">
      <alignment horizontal="center" vertical="center" wrapText="1"/>
    </xf>
    <xf numFmtId="0" fontId="21" fillId="0" borderId="0" xfId="0" applyFont="1" applyAlignment="1"/>
    <xf numFmtId="0" fontId="28" fillId="0" borderId="0" xfId="0" applyFont="1" applyAlignment="1">
      <alignment vertical="center"/>
    </xf>
    <xf numFmtId="0" fontId="25"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0" fillId="0" borderId="0" xfId="0" applyAlignment="1">
      <alignment vertical="top"/>
    </xf>
    <xf numFmtId="0" fontId="14" fillId="0" borderId="0" xfId="0" applyFont="1" applyAlignment="1">
      <alignment horizontal="right" vertical="center"/>
    </xf>
    <xf numFmtId="0" fontId="18" fillId="0" borderId="0" xfId="0" applyFont="1" applyAlignment="1">
      <alignment vertical="center"/>
    </xf>
    <xf numFmtId="0" fontId="14" fillId="0" borderId="0" xfId="0" applyFont="1" applyAlignment="1">
      <alignment horizontal="center" vertical="center"/>
    </xf>
    <xf numFmtId="0" fontId="14" fillId="0" borderId="3" xfId="0" applyFont="1" applyBorder="1" applyAlignment="1">
      <alignment vertical="center"/>
    </xf>
    <xf numFmtId="0" fontId="14" fillId="0" borderId="0" xfId="0" applyFont="1" applyAlignment="1">
      <alignment vertical="center"/>
    </xf>
    <xf numFmtId="0" fontId="9" fillId="0" borderId="6" xfId="0" applyFont="1" applyBorder="1" applyAlignment="1">
      <alignment vertical="center"/>
    </xf>
    <xf numFmtId="0" fontId="9" fillId="0" borderId="0" xfId="0" applyFont="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9" fillId="0" borderId="5" xfId="0" applyFont="1" applyBorder="1" applyAlignment="1">
      <alignment vertical="center" wrapText="1"/>
    </xf>
    <xf numFmtId="0" fontId="21" fillId="0" borderId="0" xfId="0" applyFont="1" applyAlignment="1">
      <alignment horizontal="center"/>
    </xf>
    <xf numFmtId="0" fontId="22" fillId="0" borderId="0" xfId="0" applyFont="1" applyAlignment="1">
      <alignment horizontal="center" vertical="center"/>
    </xf>
    <xf numFmtId="0" fontId="24" fillId="0" borderId="0" xfId="0" applyFont="1" applyAlignment="1">
      <alignment horizontal="center" vertical="center"/>
    </xf>
    <xf numFmtId="0" fontId="23" fillId="0" borderId="0" xfId="0" applyFont="1" applyBorder="1" applyAlignment="1"/>
    <xf numFmtId="164" fontId="22" fillId="0" borderId="10" xfId="1" applyNumberFormat="1" applyFont="1" applyBorder="1" applyAlignment="1">
      <alignment horizontal="center" vertical="center" wrapText="1"/>
    </xf>
    <xf numFmtId="164" fontId="22" fillId="0" borderId="12" xfId="1" applyNumberFormat="1" applyFont="1" applyBorder="1" applyAlignment="1">
      <alignment horizontal="center" vertical="center" wrapText="1"/>
    </xf>
    <xf numFmtId="0" fontId="21" fillId="0" borderId="0" xfId="0" applyFont="1" applyFill="1" applyAlignment="1">
      <alignment wrapText="1"/>
    </xf>
    <xf numFmtId="0" fontId="22" fillId="0" borderId="0" xfId="0" applyFont="1" applyFill="1" applyAlignment="1">
      <alignment wrapText="1"/>
    </xf>
    <xf numFmtId="49" fontId="22" fillId="0" borderId="17" xfId="1" quotePrefix="1" applyNumberFormat="1" applyFont="1" applyFill="1" applyBorder="1" applyAlignment="1">
      <alignment horizontal="center" vertical="center" wrapText="1"/>
    </xf>
    <xf numFmtId="49" fontId="22" fillId="0" borderId="17" xfId="1" applyNumberFormat="1" applyFont="1" applyFill="1" applyBorder="1" applyAlignment="1">
      <alignment horizontal="center" vertical="center" wrapText="1"/>
    </xf>
    <xf numFmtId="49" fontId="29" fillId="0" borderId="17" xfId="1" quotePrefix="1" applyNumberFormat="1" applyFont="1" applyFill="1" applyBorder="1" applyAlignment="1">
      <alignment horizontal="center" vertical="center" wrapText="1"/>
    </xf>
    <xf numFmtId="0" fontId="2" fillId="0" borderId="0" xfId="0" applyFont="1" applyFill="1" applyAlignment="1">
      <alignment vertical="top"/>
    </xf>
    <xf numFmtId="0" fontId="21" fillId="0" borderId="0" xfId="0" applyFont="1" applyFill="1" applyAlignment="1">
      <alignment horizontal="center"/>
    </xf>
    <xf numFmtId="0" fontId="23" fillId="0" borderId="0" xfId="0" applyFont="1" applyFill="1" applyBorder="1" applyAlignment="1"/>
    <xf numFmtId="0" fontId="23" fillId="0" borderId="0" xfId="0" applyFont="1" applyFill="1" applyBorder="1" applyAlignment="1">
      <alignment horizontal="center"/>
    </xf>
    <xf numFmtId="49" fontId="22" fillId="0" borderId="18" xfId="1" quotePrefix="1" applyNumberFormat="1" applyFont="1" applyFill="1" applyBorder="1" applyAlignment="1">
      <alignment horizontal="center" vertical="center" wrapText="1"/>
    </xf>
    <xf numFmtId="49" fontId="22" fillId="0" borderId="19" xfId="1" applyNumberFormat="1" applyFont="1" applyFill="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vertical="center"/>
    </xf>
    <xf numFmtId="0" fontId="21"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164" fontId="22" fillId="0" borderId="20" xfId="1" applyNumberFormat="1" applyFont="1" applyBorder="1" applyAlignment="1">
      <alignment horizontal="center" vertical="center" wrapText="1"/>
    </xf>
    <xf numFmtId="164" fontId="22" fillId="0" borderId="21" xfId="1" applyNumberFormat="1" applyFont="1" applyBorder="1" applyAlignment="1">
      <alignment horizontal="center" vertical="center" wrapText="1"/>
    </xf>
    <xf numFmtId="164" fontId="22" fillId="0" borderId="22" xfId="1" applyNumberFormat="1" applyFont="1" applyBorder="1" applyAlignment="1">
      <alignment horizontal="center" vertical="center" wrapText="1"/>
    </xf>
    <xf numFmtId="164" fontId="22" fillId="0" borderId="23" xfId="1" applyNumberFormat="1" applyFont="1" applyBorder="1" applyAlignment="1">
      <alignment horizontal="center" vertical="center" wrapText="1"/>
    </xf>
    <xf numFmtId="0" fontId="22" fillId="0" borderId="15" xfId="0" applyFont="1" applyBorder="1" applyAlignment="1">
      <alignment horizontal="center" vertical="center" wrapText="1"/>
    </xf>
    <xf numFmtId="0" fontId="22"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xf>
    <xf numFmtId="0" fontId="22" fillId="0" borderId="16" xfId="0" applyFont="1" applyBorder="1" applyAlignment="1">
      <alignment vertical="center"/>
    </xf>
    <xf numFmtId="0" fontId="21" fillId="0" borderId="29" xfId="0" applyFont="1" applyBorder="1" applyAlignment="1">
      <alignment horizontal="center" vertical="center" wrapText="1"/>
    </xf>
    <xf numFmtId="0" fontId="21" fillId="0" borderId="30" xfId="0" applyFont="1" applyBorder="1" applyAlignment="1">
      <alignment vertical="center"/>
    </xf>
    <xf numFmtId="0" fontId="22" fillId="0" borderId="0" xfId="0" applyFont="1" applyAlignment="1"/>
    <xf numFmtId="0" fontId="21" fillId="0" borderId="0" xfId="0" applyFont="1" applyAlignment="1">
      <alignment vertical="center" wrapText="1"/>
    </xf>
    <xf numFmtId="0" fontId="22" fillId="0" borderId="0" xfId="0" applyFont="1" applyAlignment="1">
      <alignment vertical="center" wrapText="1"/>
    </xf>
    <xf numFmtId="0" fontId="23" fillId="0" borderId="0" xfId="0" applyFont="1" applyBorder="1" applyAlignment="1">
      <alignment horizontal="center" vertical="center"/>
    </xf>
    <xf numFmtId="0" fontId="21"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0" fontId="5" fillId="0" borderId="0" xfId="0" applyFont="1" applyAlignment="1">
      <alignment vertical="center" wrapText="1"/>
    </xf>
    <xf numFmtId="0" fontId="0" fillId="0" borderId="0" xfId="0" applyAlignment="1">
      <alignment vertical="center" wrapText="1"/>
    </xf>
    <xf numFmtId="0" fontId="0" fillId="0" borderId="0" xfId="0" applyBorder="1" applyAlignment="1">
      <alignment vertical="center"/>
    </xf>
    <xf numFmtId="0" fontId="5" fillId="0" borderId="0" xfId="0" applyFont="1" applyBorder="1" applyAlignment="1">
      <alignment vertical="center"/>
    </xf>
    <xf numFmtId="0" fontId="25" fillId="0" borderId="22"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wrapText="1"/>
    </xf>
    <xf numFmtId="0" fontId="0" fillId="0" borderId="2" xfId="0" applyBorder="1" applyAlignment="1">
      <alignment vertical="center"/>
    </xf>
    <xf numFmtId="0" fontId="23" fillId="0" borderId="0" xfId="0" applyFont="1" applyAlignment="1">
      <alignment horizontal="center" vertical="center"/>
    </xf>
    <xf numFmtId="0" fontId="23" fillId="0" borderId="0" xfId="0" applyFont="1" applyBorder="1" applyAlignment="1">
      <alignment vertical="center"/>
    </xf>
    <xf numFmtId="0" fontId="9" fillId="0" borderId="0" xfId="0" applyFont="1" applyAlignment="1">
      <alignment horizontal="left"/>
    </xf>
    <xf numFmtId="0" fontId="30" fillId="0" borderId="0" xfId="0" applyFont="1" applyAlignment="1">
      <alignment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vertical="center"/>
    </xf>
    <xf numFmtId="0" fontId="9" fillId="0" borderId="37" xfId="0" applyFont="1" applyBorder="1" applyAlignment="1">
      <alignment horizontal="center" vertical="center"/>
    </xf>
    <xf numFmtId="0" fontId="9" fillId="0" borderId="38"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quotePrefix="1" applyFont="1" applyBorder="1" applyAlignment="1">
      <alignment horizontal="center" vertical="center"/>
    </xf>
    <xf numFmtId="0" fontId="17" fillId="0" borderId="22" xfId="0" quotePrefix="1" applyFont="1" applyBorder="1" applyAlignment="1">
      <alignment horizontal="center" vertical="center"/>
    </xf>
    <xf numFmtId="0" fontId="9" fillId="0" borderId="39" xfId="0" applyFont="1" applyBorder="1" applyAlignment="1">
      <alignment vertical="center"/>
    </xf>
    <xf numFmtId="0" fontId="9" fillId="0" borderId="31" xfId="0" quotePrefix="1" applyFont="1" applyBorder="1" applyAlignment="1">
      <alignment horizontal="center" vertical="center"/>
    </xf>
    <xf numFmtId="0" fontId="9" fillId="0" borderId="32" xfId="0" applyFont="1" applyBorder="1" applyAlignment="1">
      <alignment vertical="center"/>
    </xf>
    <xf numFmtId="0" fontId="9" fillId="0" borderId="25" xfId="0" applyFont="1" applyBorder="1" applyAlignment="1">
      <alignment vertical="center"/>
    </xf>
    <xf numFmtId="0" fontId="14" fillId="0" borderId="37" xfId="0" applyFont="1" applyBorder="1" applyAlignment="1">
      <alignment horizontal="center" vertical="center"/>
    </xf>
    <xf numFmtId="0" fontId="14" fillId="0" borderId="38" xfId="0" applyFont="1" applyBorder="1" applyAlignment="1">
      <alignment vertical="center"/>
    </xf>
    <xf numFmtId="0" fontId="25" fillId="0" borderId="23" xfId="0" applyFont="1" applyBorder="1" applyAlignment="1">
      <alignment vertical="center"/>
    </xf>
    <xf numFmtId="0" fontId="30" fillId="0" borderId="22" xfId="0" applyFont="1" applyBorder="1" applyAlignment="1">
      <alignment horizontal="center" vertical="center"/>
    </xf>
    <xf numFmtId="0" fontId="25" fillId="0" borderId="32" xfId="0" applyFont="1" applyBorder="1" applyAlignment="1">
      <alignment vertical="center"/>
    </xf>
    <xf numFmtId="0" fontId="24" fillId="0" borderId="31" xfId="0" quotePrefix="1" applyFont="1" applyBorder="1" applyAlignment="1">
      <alignment horizontal="center" vertical="center"/>
    </xf>
    <xf numFmtId="0" fontId="25" fillId="0" borderId="31" xfId="0" quotePrefix="1" applyFont="1" applyBorder="1" applyAlignment="1">
      <alignment horizontal="center" vertical="center"/>
    </xf>
    <xf numFmtId="0" fontId="25" fillId="0" borderId="36" xfId="0" applyFont="1" applyBorder="1" applyAlignment="1">
      <alignment horizontal="center" vertical="center"/>
    </xf>
    <xf numFmtId="0" fontId="25" fillId="0" borderId="25" xfId="0" applyFont="1" applyBorder="1" applyAlignment="1">
      <alignment vertical="center"/>
    </xf>
    <xf numFmtId="0" fontId="25" fillId="0" borderId="22" xfId="0" quotePrefix="1" applyFont="1" applyBorder="1" applyAlignment="1">
      <alignment horizontal="center" vertical="center"/>
    </xf>
    <xf numFmtId="0" fontId="25" fillId="0" borderId="6" xfId="0" applyFont="1" applyBorder="1" applyAlignment="1">
      <alignment vertical="center"/>
    </xf>
    <xf numFmtId="0" fontId="21" fillId="0" borderId="0" xfId="0" applyFont="1" applyAlignment="1">
      <alignment horizontal="center"/>
    </xf>
    <xf numFmtId="0" fontId="21" fillId="4" borderId="0" xfId="0" applyFont="1" applyFill="1" applyAlignment="1">
      <alignment horizontal="center"/>
    </xf>
    <xf numFmtId="0" fontId="21" fillId="4" borderId="0" xfId="0" applyFont="1" applyFill="1" applyAlignment="1">
      <alignment wrapText="1"/>
    </xf>
    <xf numFmtId="0" fontId="21" fillId="4" borderId="0" xfId="0" applyFont="1" applyFill="1"/>
    <xf numFmtId="0" fontId="24" fillId="0" borderId="0" xfId="0" applyFont="1" applyAlignment="1">
      <alignment horizontal="right"/>
    </xf>
    <xf numFmtId="0" fontId="22" fillId="0" borderId="0" xfId="0" applyFont="1" applyAlignment="1">
      <alignment horizontal="center"/>
    </xf>
    <xf numFmtId="0" fontId="21" fillId="0" borderId="0" xfId="0" applyFont="1" applyAlignment="1">
      <alignment horizontal="center"/>
    </xf>
    <xf numFmtId="0" fontId="12" fillId="0" borderId="0" xfId="0" applyFont="1" applyAlignment="1">
      <alignment horizontal="center"/>
    </xf>
    <xf numFmtId="0" fontId="33" fillId="0" borderId="29" xfId="0" applyFont="1" applyBorder="1" applyAlignment="1">
      <alignment horizontal="center" vertical="center" wrapText="1"/>
    </xf>
    <xf numFmtId="164" fontId="22" fillId="0" borderId="34" xfId="1" applyNumberFormat="1" applyFont="1" applyBorder="1" applyAlignment="1">
      <alignment horizontal="center" vertical="center" wrapText="1"/>
    </xf>
    <xf numFmtId="164" fontId="22" fillId="0" borderId="8" xfId="1" applyNumberFormat="1" applyFont="1" applyBorder="1" applyAlignment="1">
      <alignment horizontal="center" vertical="center" wrapText="1"/>
    </xf>
    <xf numFmtId="0" fontId="22" fillId="0" borderId="29" xfId="0" applyFont="1" applyBorder="1" applyAlignment="1">
      <alignment vertical="center"/>
    </xf>
    <xf numFmtId="0" fontId="5" fillId="0" borderId="0" xfId="0" applyFont="1" applyAlignment="1">
      <alignment horizontal="center" vertical="center" wrapText="1"/>
    </xf>
    <xf numFmtId="0" fontId="21" fillId="0" borderId="0" xfId="0" applyFont="1" applyFill="1" applyAlignment="1">
      <alignment horizontal="center" wrapText="1"/>
    </xf>
    <xf numFmtId="0" fontId="5" fillId="0" borderId="0" xfId="0" applyFont="1" applyFill="1" applyAlignment="1">
      <alignment horizontal="center" wrapText="1"/>
    </xf>
    <xf numFmtId="0" fontId="39" fillId="0" borderId="24" xfId="0" applyFont="1" applyBorder="1" applyAlignment="1">
      <alignment vertical="center"/>
    </xf>
    <xf numFmtId="41" fontId="18" fillId="0" borderId="0" xfId="2" applyFont="1" applyAlignment="1">
      <alignment vertical="center"/>
    </xf>
    <xf numFmtId="41" fontId="14" fillId="0" borderId="11" xfId="2" applyFont="1" applyBorder="1" applyAlignment="1">
      <alignment horizontal="center" vertical="center" wrapText="1"/>
    </xf>
    <xf numFmtId="41" fontId="14" fillId="0" borderId="3" xfId="2" applyFont="1" applyBorder="1" applyAlignment="1">
      <alignment vertical="center"/>
    </xf>
    <xf numFmtId="41" fontId="14" fillId="0" borderId="6" xfId="2" applyFont="1" applyBorder="1" applyAlignment="1">
      <alignment vertical="center"/>
    </xf>
    <xf numFmtId="41" fontId="28" fillId="0" borderId="0" xfId="2" applyFont="1" applyAlignment="1">
      <alignment vertical="center"/>
    </xf>
    <xf numFmtId="41" fontId="25" fillId="0" borderId="0" xfId="2" applyFont="1" applyAlignment="1">
      <alignment vertical="center"/>
    </xf>
    <xf numFmtId="41" fontId="9" fillId="0" borderId="6" xfId="2" applyFont="1" applyBorder="1" applyAlignment="1">
      <alignment vertical="center"/>
    </xf>
    <xf numFmtId="41" fontId="9" fillId="0" borderId="4" xfId="2" applyFont="1" applyBorder="1" applyAlignment="1">
      <alignment vertical="center"/>
    </xf>
    <xf numFmtId="41" fontId="9" fillId="0" borderId="7" xfId="2" applyFont="1" applyBorder="1" applyAlignment="1">
      <alignment vertical="center"/>
    </xf>
    <xf numFmtId="41" fontId="9" fillId="0" borderId="5" xfId="2" applyFont="1" applyBorder="1" applyAlignment="1">
      <alignment vertical="center"/>
    </xf>
    <xf numFmtId="0" fontId="21" fillId="4" borderId="0" xfId="0" applyFont="1" applyFill="1" applyAlignment="1"/>
    <xf numFmtId="0" fontId="22" fillId="4" borderId="0" xfId="0" applyFont="1" applyFill="1" applyAlignment="1"/>
    <xf numFmtId="164" fontId="22" fillId="0" borderId="45" xfId="1" applyNumberFormat="1" applyFont="1" applyFill="1" applyBorder="1" applyAlignment="1">
      <alignment horizontal="center" vertical="top" wrapText="1"/>
    </xf>
    <xf numFmtId="0" fontId="40" fillId="0" borderId="0" xfId="0" applyFont="1" applyFill="1"/>
    <xf numFmtId="0" fontId="30" fillId="0" borderId="0" xfId="0" applyFont="1" applyBorder="1" applyAlignment="1">
      <alignment horizontal="right" vertical="center" wrapText="1"/>
    </xf>
    <xf numFmtId="49" fontId="22" fillId="0" borderId="45" xfId="1" quotePrefix="1" applyNumberFormat="1" applyFont="1" applyFill="1" applyBorder="1" applyAlignment="1">
      <alignment vertical="center" wrapText="1"/>
    </xf>
    <xf numFmtId="49" fontId="22" fillId="0" borderId="45" xfId="1" quotePrefix="1" applyNumberFormat="1" applyFont="1" applyFill="1" applyBorder="1" applyAlignment="1">
      <alignment horizontal="center" vertical="center" wrapText="1"/>
    </xf>
    <xf numFmtId="49" fontId="22" fillId="0" borderId="45" xfId="1" applyNumberFormat="1" applyFont="1" applyFill="1" applyBorder="1" applyAlignment="1">
      <alignment horizontal="center" vertical="center" wrapText="1"/>
    </xf>
    <xf numFmtId="49" fontId="22" fillId="0" borderId="50" xfId="1" applyNumberFormat="1" applyFont="1" applyFill="1" applyBorder="1" applyAlignment="1">
      <alignment horizontal="center" vertical="center" wrapText="1"/>
    </xf>
    <xf numFmtId="164" fontId="41" fillId="0" borderId="3" xfId="1" applyNumberFormat="1" applyFont="1" applyBorder="1" applyAlignment="1">
      <alignment horizontal="left" vertical="center" wrapText="1"/>
    </xf>
    <xf numFmtId="164" fontId="41" fillId="0" borderId="4" xfId="1" applyNumberFormat="1" applyFont="1" applyBorder="1" applyAlignment="1">
      <alignment horizontal="left" vertical="center" wrapText="1"/>
    </xf>
    <xf numFmtId="0" fontId="25" fillId="0" borderId="23" xfId="0" applyFont="1" applyBorder="1" applyAlignment="1">
      <alignment vertical="center" wrapText="1"/>
    </xf>
    <xf numFmtId="41" fontId="24" fillId="0" borderId="24" xfId="2" applyFont="1" applyBorder="1" applyAlignment="1">
      <alignment vertical="center"/>
    </xf>
    <xf numFmtId="164" fontId="22" fillId="0" borderId="45" xfId="1" applyNumberFormat="1" applyFont="1" applyFill="1" applyBorder="1" applyAlignment="1">
      <alignment vertical="center" wrapText="1"/>
    </xf>
    <xf numFmtId="164" fontId="22" fillId="0" borderId="45" xfId="1" applyNumberFormat="1" applyFont="1" applyFill="1" applyBorder="1" applyAlignment="1">
      <alignment horizontal="center" vertical="center" wrapText="1"/>
    </xf>
    <xf numFmtId="0" fontId="5" fillId="0" borderId="27" xfId="0" applyFont="1" applyBorder="1" applyAlignment="1">
      <alignment horizontal="center" vertical="center" wrapText="1"/>
    </xf>
    <xf numFmtId="164" fontId="22" fillId="0" borderId="45" xfId="1" applyNumberFormat="1" applyFont="1" applyBorder="1" applyAlignment="1">
      <alignment horizontal="center" vertical="center" wrapText="1"/>
    </xf>
    <xf numFmtId="0" fontId="26" fillId="0" borderId="0" xfId="0" applyFont="1" applyAlignment="1"/>
    <xf numFmtId="41" fontId="0" fillId="0" borderId="0" xfId="2" applyFont="1" applyAlignment="1">
      <alignment vertical="center"/>
    </xf>
    <xf numFmtId="0" fontId="22" fillId="0" borderId="0" xfId="0" applyFont="1" applyAlignment="1">
      <alignment horizontal="center" vertical="center" wrapText="1"/>
    </xf>
    <xf numFmtId="1" fontId="21" fillId="0" borderId="51" xfId="0" applyNumberFormat="1" applyFont="1" applyFill="1" applyBorder="1" applyAlignment="1">
      <alignment vertical="top" wrapText="1"/>
    </xf>
    <xf numFmtId="0" fontId="14" fillId="0" borderId="36" xfId="0" quotePrefix="1" applyFont="1" applyBorder="1" applyAlignment="1">
      <alignment horizontal="center" vertical="center"/>
    </xf>
    <xf numFmtId="0" fontId="22" fillId="0" borderId="0" xfId="0" applyFont="1" applyFill="1" applyAlignment="1">
      <alignment horizontal="center" wrapText="1"/>
    </xf>
    <xf numFmtId="0" fontId="22" fillId="0" borderId="0" xfId="0" applyFont="1" applyFill="1" applyAlignment="1">
      <alignment horizontal="center"/>
    </xf>
    <xf numFmtId="164" fontId="22" fillId="0" borderId="51" xfId="1" applyNumberFormat="1" applyFont="1" applyFill="1" applyBorder="1" applyAlignment="1">
      <alignment vertical="center" wrapText="1"/>
    </xf>
    <xf numFmtId="164" fontId="22" fillId="0" borderId="51" xfId="1" applyNumberFormat="1" applyFont="1" applyFill="1" applyBorder="1" applyAlignment="1">
      <alignment horizontal="center" vertical="center" wrapText="1"/>
    </xf>
    <xf numFmtId="0" fontId="22" fillId="0" borderId="51" xfId="0" applyFont="1" applyFill="1" applyBorder="1" applyAlignment="1">
      <alignment vertical="top" wrapText="1"/>
    </xf>
    <xf numFmtId="0" fontId="22" fillId="0" borderId="51" xfId="0" applyFont="1" applyFill="1" applyBorder="1" applyAlignment="1">
      <alignment horizontal="left" vertical="top" wrapText="1"/>
    </xf>
    <xf numFmtId="0" fontId="22" fillId="0" borderId="51" xfId="0" applyFont="1" applyFill="1" applyBorder="1" applyAlignment="1">
      <alignment horizontal="center" vertical="center" wrapText="1"/>
    </xf>
    <xf numFmtId="0" fontId="22" fillId="0" borderId="51" xfId="0" applyFont="1" applyFill="1" applyBorder="1" applyAlignment="1">
      <alignment horizontal="center" vertical="top" wrapText="1"/>
    </xf>
    <xf numFmtId="0" fontId="22" fillId="0" borderId="51" xfId="0" applyFont="1" applyFill="1" applyBorder="1" applyAlignment="1">
      <alignment vertical="top"/>
    </xf>
    <xf numFmtId="0" fontId="21" fillId="0" borderId="51" xfId="0" applyFont="1" applyFill="1" applyBorder="1" applyAlignment="1">
      <alignment horizontal="center" vertical="center" wrapText="1"/>
    </xf>
    <xf numFmtId="0" fontId="2" fillId="0" borderId="51" xfId="0" applyFont="1" applyFill="1" applyBorder="1" applyAlignment="1">
      <alignment vertical="top"/>
    </xf>
    <xf numFmtId="0" fontId="21" fillId="0" borderId="51" xfId="0" applyFont="1" applyFill="1" applyBorder="1" applyAlignment="1">
      <alignment horizontal="center" vertical="center"/>
    </xf>
    <xf numFmtId="0" fontId="21" fillId="0" borderId="51" xfId="0" applyFont="1" applyFill="1" applyBorder="1" applyAlignment="1">
      <alignment horizontal="center" vertical="top" wrapText="1"/>
    </xf>
    <xf numFmtId="0" fontId="21" fillId="0" borderId="51" xfId="0" applyFont="1" applyFill="1" applyBorder="1" applyAlignment="1">
      <alignment vertical="top"/>
    </xf>
    <xf numFmtId="0" fontId="5" fillId="0" borderId="51" xfId="0" applyFont="1" applyFill="1" applyBorder="1" applyAlignment="1">
      <alignment vertical="top"/>
    </xf>
    <xf numFmtId="0" fontId="5" fillId="0" borderId="51" xfId="0" applyFont="1" applyFill="1" applyBorder="1" applyAlignment="1">
      <alignment horizontal="center" vertical="top"/>
    </xf>
    <xf numFmtId="0" fontId="5" fillId="0" borderId="51" xfId="0" applyFont="1" applyBorder="1" applyAlignment="1">
      <alignment horizontal="center" vertical="top"/>
    </xf>
    <xf numFmtId="1" fontId="22" fillId="0" borderId="51" xfId="0" applyNumberFormat="1" applyFont="1" applyFill="1" applyBorder="1" applyAlignment="1">
      <alignment vertical="top" wrapText="1"/>
    </xf>
    <xf numFmtId="0" fontId="32" fillId="0" borderId="51" xfId="0" applyFont="1" applyFill="1" applyBorder="1" applyAlignment="1">
      <alignment horizontal="center" vertical="center" wrapText="1"/>
    </xf>
    <xf numFmtId="0" fontId="21" fillId="0" borderId="51" xfId="0" applyFont="1" applyFill="1" applyBorder="1" applyAlignment="1">
      <alignment horizontal="left" vertical="top" wrapText="1"/>
    </xf>
    <xf numFmtId="0" fontId="34" fillId="0" borderId="51" xfId="0" applyFont="1" applyBorder="1" applyAlignment="1">
      <alignment horizontal="center" vertical="center" wrapText="1"/>
    </xf>
    <xf numFmtId="0" fontId="22" fillId="5" borderId="51" xfId="0" applyFont="1" applyFill="1" applyBorder="1" applyAlignment="1">
      <alignment horizontal="center" vertical="center" wrapText="1"/>
    </xf>
    <xf numFmtId="0" fontId="21" fillId="5" borderId="51" xfId="0" applyFont="1" applyFill="1" applyBorder="1" applyAlignment="1">
      <alignment horizontal="center" vertical="top" wrapText="1"/>
    </xf>
    <xf numFmtId="0" fontId="22" fillId="0" borderId="51" xfId="0" applyFont="1" applyBorder="1" applyAlignment="1">
      <alignment vertical="center"/>
    </xf>
    <xf numFmtId="166" fontId="22" fillId="5" borderId="51" xfId="0" applyNumberFormat="1" applyFont="1" applyFill="1" applyBorder="1" applyAlignment="1">
      <alignment horizontal="center" vertical="top" wrapText="1"/>
    </xf>
    <xf numFmtId="0" fontId="22" fillId="5" borderId="51" xfId="0" applyFont="1" applyFill="1" applyBorder="1" applyAlignment="1">
      <alignment horizontal="center" vertical="top" wrapText="1"/>
    </xf>
    <xf numFmtId="0" fontId="21" fillId="5" borderId="51" xfId="0" applyFont="1" applyFill="1" applyBorder="1" applyAlignment="1">
      <alignment vertical="top"/>
    </xf>
    <xf numFmtId="164" fontId="36" fillId="0" borderId="51" xfId="0" applyNumberFormat="1" applyFont="1" applyBorder="1" applyAlignment="1">
      <alignment vertical="center" wrapText="1"/>
    </xf>
    <xf numFmtId="0" fontId="36" fillId="0" borderId="51" xfId="0" applyFont="1" applyBorder="1" applyAlignment="1">
      <alignment vertical="top" wrapText="1"/>
    </xf>
    <xf numFmtId="0" fontId="36" fillId="0" borderId="51" xfId="0" applyFont="1" applyBorder="1" applyAlignment="1">
      <alignment horizontal="left" vertical="top" wrapText="1"/>
    </xf>
    <xf numFmtId="0" fontId="5" fillId="0" borderId="51" xfId="0" applyFont="1" applyFill="1" applyBorder="1" applyAlignment="1">
      <alignment horizontal="center" vertical="center"/>
    </xf>
    <xf numFmtId="0" fontId="5" fillId="0" borderId="51" xfId="0" applyFont="1" applyFill="1" applyBorder="1" applyAlignment="1">
      <alignment horizontal="center" vertical="top" wrapText="1"/>
    </xf>
    <xf numFmtId="0" fontId="5" fillId="0" borderId="51" xfId="0" applyFont="1" applyFill="1" applyBorder="1" applyAlignment="1">
      <alignment horizontal="center" vertical="center" wrapText="1"/>
    </xf>
    <xf numFmtId="166" fontId="5" fillId="0" borderId="51" xfId="0" applyNumberFormat="1" applyFont="1" applyBorder="1" applyAlignment="1">
      <alignment vertical="top" wrapText="1"/>
    </xf>
    <xf numFmtId="0" fontId="5" fillId="0" borderId="51" xfId="0" applyFont="1" applyBorder="1" applyAlignment="1">
      <alignment horizontal="center" vertical="center" wrapText="1"/>
    </xf>
    <xf numFmtId="166" fontId="5" fillId="0" borderId="51" xfId="0" applyNumberFormat="1" applyFont="1" applyBorder="1" applyAlignment="1">
      <alignment horizontal="left" vertical="top" wrapText="1"/>
    </xf>
    <xf numFmtId="1" fontId="5" fillId="0" borderId="51" xfId="0" applyNumberFormat="1" applyFont="1" applyBorder="1" applyAlignment="1">
      <alignment vertical="top" wrapText="1"/>
    </xf>
    <xf numFmtId="0" fontId="34" fillId="0" borderId="51" xfId="0" applyFont="1" applyBorder="1" applyAlignment="1">
      <alignment horizontal="center" vertical="top" wrapText="1"/>
    </xf>
    <xf numFmtId="0" fontId="36" fillId="0" borderId="51" xfId="0" applyFont="1" applyBorder="1" applyAlignment="1">
      <alignment horizontal="center" vertical="center" wrapText="1"/>
    </xf>
    <xf numFmtId="0" fontId="5" fillId="0" borderId="51" xfId="0" applyFont="1" applyBorder="1" applyAlignment="1">
      <alignment horizontal="left" vertical="top" wrapText="1"/>
    </xf>
    <xf numFmtId="166" fontId="5" fillId="0" borderId="51" xfId="0" applyNumberFormat="1" applyFont="1" applyBorder="1" applyAlignment="1">
      <alignment horizontal="center" vertical="top" wrapText="1"/>
    </xf>
    <xf numFmtId="0" fontId="6" fillId="0" borderId="51" xfId="0" applyFont="1" applyBorder="1" applyAlignment="1">
      <alignment horizontal="center" vertical="center" wrapText="1"/>
    </xf>
    <xf numFmtId="1" fontId="32" fillId="5" borderId="51" xfId="0" applyNumberFormat="1" applyFont="1" applyFill="1" applyBorder="1" applyAlignment="1">
      <alignment vertical="top" wrapText="1"/>
    </xf>
    <xf numFmtId="166" fontId="6" fillId="5" borderId="51" xfId="0" applyNumberFormat="1" applyFont="1" applyFill="1" applyBorder="1" applyAlignment="1">
      <alignment horizontal="center" vertical="top" wrapText="1"/>
    </xf>
    <xf numFmtId="0" fontId="6" fillId="5" borderId="51" xfId="0" applyFont="1" applyFill="1" applyBorder="1" applyAlignment="1">
      <alignment horizontal="center" vertical="center" wrapText="1"/>
    </xf>
    <xf numFmtId="1" fontId="32" fillId="0" borderId="51" xfId="0" applyNumberFormat="1" applyFont="1" applyBorder="1" applyAlignment="1">
      <alignment vertical="top" wrapText="1"/>
    </xf>
    <xf numFmtId="166" fontId="32" fillId="0" borderId="51" xfId="0" applyNumberFormat="1" applyFont="1" applyBorder="1" applyAlignment="1">
      <alignment vertical="top" wrapText="1"/>
    </xf>
    <xf numFmtId="0" fontId="32" fillId="0" borderId="51" xfId="0" applyFont="1" applyBorder="1" applyAlignment="1">
      <alignment horizontal="center" vertical="center" wrapText="1"/>
    </xf>
    <xf numFmtId="0" fontId="32" fillId="0" borderId="51" xfId="0" applyFont="1" applyBorder="1" applyAlignment="1">
      <alignment horizontal="center" vertical="top" wrapText="1"/>
    </xf>
    <xf numFmtId="164" fontId="22" fillId="0" borderId="51" xfId="3" applyNumberFormat="1" applyFont="1" applyFill="1" applyBorder="1" applyAlignment="1">
      <alignment vertical="center" wrapText="1"/>
    </xf>
    <xf numFmtId="164" fontId="8" fillId="0" borderId="51" xfId="3" applyNumberFormat="1" applyFont="1" applyFill="1" applyBorder="1" applyAlignment="1">
      <alignment horizontal="center" vertical="center" wrapText="1"/>
    </xf>
    <xf numFmtId="164" fontId="8" fillId="0" borderId="51" xfId="3" applyNumberFormat="1" applyFont="1" applyFill="1" applyBorder="1" applyAlignment="1">
      <alignment vertical="center" wrapText="1"/>
    </xf>
    <xf numFmtId="0" fontId="8" fillId="0" borderId="51" xfId="0" applyFont="1" applyFill="1" applyBorder="1" applyAlignment="1">
      <alignment vertical="top" wrapText="1"/>
    </xf>
    <xf numFmtId="0" fontId="8" fillId="0" borderId="51" xfId="0" applyFont="1" applyFill="1" applyBorder="1" applyAlignment="1">
      <alignment horizontal="left" vertical="top" wrapText="1"/>
    </xf>
    <xf numFmtId="0" fontId="8" fillId="0" borderId="51" xfId="0" applyFont="1" applyFill="1" applyBorder="1" applyAlignment="1">
      <alignment horizontal="center" vertical="center" wrapText="1"/>
    </xf>
    <xf numFmtId="0" fontId="7" fillId="0" borderId="51" xfId="0" applyFont="1" applyFill="1" applyBorder="1" applyAlignment="1">
      <alignment horizontal="right" vertical="center"/>
    </xf>
    <xf numFmtId="0" fontId="7" fillId="0" borderId="51" xfId="0" applyFont="1" applyFill="1" applyBorder="1" applyAlignment="1">
      <alignment vertical="center" wrapText="1"/>
    </xf>
    <xf numFmtId="0" fontId="7" fillId="0" borderId="51" xfId="0" applyFont="1" applyFill="1" applyBorder="1" applyAlignment="1">
      <alignment horizontal="right" vertical="center" wrapText="1"/>
    </xf>
    <xf numFmtId="0" fontId="7" fillId="0" borderId="51" xfId="0" applyFont="1" applyFill="1" applyBorder="1" applyAlignment="1">
      <alignment horizontal="center" vertical="center" wrapText="1"/>
    </xf>
    <xf numFmtId="0" fontId="7" fillId="0" borderId="51" xfId="0" applyFont="1" applyFill="1" applyBorder="1" applyAlignment="1">
      <alignment horizontal="center" vertical="top" wrapText="1"/>
    </xf>
    <xf numFmtId="0" fontId="7" fillId="0" borderId="51" xfId="0" applyFont="1" applyFill="1" applyBorder="1" applyAlignment="1">
      <alignment vertical="top"/>
    </xf>
    <xf numFmtId="0" fontId="8" fillId="0" borderId="51" xfId="0" applyFont="1" applyFill="1" applyBorder="1" applyAlignment="1">
      <alignment horizontal="center" vertical="top" wrapText="1"/>
    </xf>
    <xf numFmtId="0" fontId="7" fillId="0" borderId="51" xfId="0" applyFont="1" applyFill="1" applyBorder="1" applyAlignment="1">
      <alignment horizontal="center" vertical="center"/>
    </xf>
    <xf numFmtId="0" fontId="2" fillId="0" borderId="51" xfId="0" applyFont="1" applyFill="1" applyBorder="1" applyAlignment="1">
      <alignment horizontal="center" vertical="top"/>
    </xf>
    <xf numFmtId="0" fontId="6" fillId="5" borderId="51" xfId="0" applyFont="1" applyFill="1" applyBorder="1" applyAlignment="1">
      <alignment horizontal="center" vertical="top" wrapText="1"/>
    </xf>
    <xf numFmtId="0" fontId="21" fillId="0" borderId="51" xfId="0" applyFont="1" applyFill="1" applyBorder="1" applyAlignment="1">
      <alignment horizontal="justify" vertical="center" wrapText="1"/>
    </xf>
    <xf numFmtId="0" fontId="21" fillId="0" borderId="51" xfId="0" applyFont="1" applyFill="1" applyBorder="1" applyAlignment="1">
      <alignment horizontal="center"/>
    </xf>
    <xf numFmtId="0" fontId="21" fillId="0" borderId="51" xfId="0" applyFont="1" applyFill="1" applyBorder="1" applyAlignment="1">
      <alignment wrapText="1"/>
    </xf>
    <xf numFmtId="0" fontId="22" fillId="0" borderId="51" xfId="0" applyFont="1" applyFill="1" applyBorder="1" applyAlignment="1">
      <alignment wrapText="1"/>
    </xf>
    <xf numFmtId="0" fontId="7" fillId="0" borderId="51" xfId="0" applyFont="1" applyFill="1" applyBorder="1" applyAlignment="1">
      <alignment wrapText="1"/>
    </xf>
    <xf numFmtId="165" fontId="21" fillId="0" borderId="51" xfId="0" applyNumberFormat="1" applyFont="1" applyFill="1" applyBorder="1" applyAlignment="1">
      <alignment wrapText="1"/>
    </xf>
    <xf numFmtId="0" fontId="21" fillId="0" borderId="51" xfId="0" quotePrefix="1" applyFont="1" applyFill="1" applyBorder="1" applyAlignment="1"/>
    <xf numFmtId="0" fontId="21" fillId="0" borderId="51" xfId="0" quotePrefix="1" applyFont="1" applyFill="1" applyBorder="1" applyAlignment="1">
      <alignment horizontal="left"/>
    </xf>
    <xf numFmtId="166" fontId="22" fillId="0" borderId="51" xfId="0" applyNumberFormat="1" applyFont="1" applyFill="1" applyBorder="1" applyAlignment="1">
      <alignment horizontal="center" vertical="center" wrapText="1"/>
    </xf>
    <xf numFmtId="0" fontId="22" fillId="0" borderId="51" xfId="0" applyFont="1" applyFill="1" applyBorder="1" applyAlignment="1">
      <alignment horizontal="justify" vertical="center" wrapText="1"/>
    </xf>
    <xf numFmtId="0" fontId="22" fillId="5" borderId="51" xfId="0" applyFont="1" applyFill="1" applyBorder="1" applyAlignment="1">
      <alignment horizontal="justify" vertical="center" wrapText="1"/>
    </xf>
    <xf numFmtId="166" fontId="22" fillId="5" borderId="51" xfId="0" applyNumberFormat="1" applyFont="1" applyFill="1" applyBorder="1" applyAlignment="1">
      <alignment horizontal="justify" vertical="center" wrapText="1"/>
    </xf>
    <xf numFmtId="164" fontId="21" fillId="0" borderId="45" xfId="1" applyNumberFormat="1" applyFont="1" applyFill="1" applyBorder="1" applyAlignment="1">
      <alignment horizontal="center" vertical="center" wrapText="1"/>
    </xf>
    <xf numFmtId="164" fontId="21" fillId="0" borderId="51" xfId="1" applyNumberFormat="1" applyFont="1" applyFill="1" applyBorder="1" applyAlignment="1">
      <alignment horizontal="center" vertical="center" wrapText="1"/>
    </xf>
    <xf numFmtId="0" fontId="21" fillId="5" borderId="51" xfId="0" applyFont="1" applyFill="1" applyBorder="1" applyAlignment="1">
      <alignment horizontal="center" vertical="center" wrapText="1"/>
    </xf>
    <xf numFmtId="0" fontId="5" fillId="5" borderId="51" xfId="0" applyFont="1" applyFill="1" applyBorder="1" applyAlignment="1">
      <alignment horizontal="center" vertical="center" wrapText="1"/>
    </xf>
    <xf numFmtId="164" fontId="7" fillId="0" borderId="51" xfId="3" applyNumberFormat="1" applyFont="1" applyFill="1" applyBorder="1" applyAlignment="1">
      <alignment horizontal="center" vertical="center" wrapText="1"/>
    </xf>
    <xf numFmtId="0" fontId="40" fillId="0" borderId="0" xfId="0" applyFont="1" applyFill="1" applyAlignment="1">
      <alignment horizontal="center" wrapText="1"/>
    </xf>
    <xf numFmtId="0" fontId="22" fillId="0" borderId="0" xfId="0" applyFont="1" applyFill="1" applyAlignment="1">
      <alignment horizontal="right" wrapText="1"/>
    </xf>
    <xf numFmtId="49" fontId="40" fillId="0" borderId="0" xfId="0" applyNumberFormat="1" applyFont="1" applyFill="1" applyAlignment="1">
      <alignment horizontal="center"/>
    </xf>
    <xf numFmtId="0" fontId="40" fillId="0" borderId="51" xfId="0" applyFont="1" applyFill="1" applyBorder="1" applyAlignment="1">
      <alignment horizontal="center" vertical="top"/>
    </xf>
    <xf numFmtId="164" fontId="43" fillId="0" borderId="51" xfId="3" applyNumberFormat="1" applyFont="1" applyFill="1" applyBorder="1" applyAlignment="1">
      <alignment vertical="center" wrapText="1"/>
    </xf>
    <xf numFmtId="0" fontId="40" fillId="0" borderId="0" xfId="0" applyFont="1" applyFill="1" applyAlignment="1">
      <alignment vertical="top"/>
    </xf>
    <xf numFmtId="0" fontId="40" fillId="0" borderId="51" xfId="0" applyFont="1" applyFill="1" applyBorder="1"/>
    <xf numFmtId="0" fontId="40" fillId="0" borderId="51" xfId="0" applyFont="1" applyFill="1" applyBorder="1" applyAlignment="1">
      <alignment horizontal="center" wrapText="1"/>
    </xf>
    <xf numFmtId="0" fontId="40" fillId="0" borderId="0" xfId="0" applyFont="1" applyFill="1" applyAlignment="1">
      <alignment horizontal="center"/>
    </xf>
    <xf numFmtId="0" fontId="40" fillId="0" borderId="0" xfId="0" applyFont="1" applyFill="1" applyAlignment="1">
      <alignment wrapText="1"/>
    </xf>
    <xf numFmtId="0" fontId="42" fillId="0" borderId="0" xfId="0" applyFont="1" applyBorder="1" applyAlignment="1">
      <alignment vertical="center"/>
    </xf>
    <xf numFmtId="0" fontId="5" fillId="0" borderId="52" xfId="0" applyFont="1" applyBorder="1" applyAlignment="1">
      <alignment vertical="top" wrapText="1"/>
    </xf>
    <xf numFmtId="0" fontId="5" fillId="0" borderId="52" xfId="0" applyFont="1" applyBorder="1" applyAlignment="1">
      <alignment horizontal="center" vertical="center" wrapText="1"/>
    </xf>
    <xf numFmtId="0" fontId="35" fillId="0" borderId="0" xfId="0" applyFont="1" applyBorder="1" applyAlignment="1">
      <alignment vertical="center"/>
    </xf>
    <xf numFmtId="0" fontId="5" fillId="0" borderId="0" xfId="0" applyFont="1" applyBorder="1" applyAlignment="1">
      <alignment horizontal="center" vertical="center"/>
    </xf>
    <xf numFmtId="0" fontId="21" fillId="0" borderId="51" xfId="0" applyFont="1" applyFill="1" applyBorder="1" applyAlignment="1">
      <alignment horizontal="center" vertical="center" wrapText="1"/>
    </xf>
    <xf numFmtId="0" fontId="25" fillId="0" borderId="0" xfId="0" applyFont="1" applyFill="1" applyBorder="1" applyAlignment="1">
      <alignment vertical="center"/>
    </xf>
    <xf numFmtId="0" fontId="22" fillId="0" borderId="0" xfId="0" applyFont="1" applyFill="1" applyAlignment="1">
      <alignment horizontal="center" wrapText="1"/>
    </xf>
    <xf numFmtId="0" fontId="21" fillId="0" borderId="0" xfId="0" applyFont="1" applyFill="1" applyAlignment="1">
      <alignment horizontal="center"/>
    </xf>
    <xf numFmtId="0" fontId="22" fillId="0" borderId="0" xfId="0" applyFont="1" applyFill="1" applyAlignment="1">
      <alignment horizontal="center"/>
    </xf>
    <xf numFmtId="0" fontId="21" fillId="0" borderId="51" xfId="0" applyFont="1" applyFill="1" applyBorder="1" applyAlignment="1">
      <alignment horizontal="center" vertical="center" wrapText="1"/>
    </xf>
    <xf numFmtId="166" fontId="32" fillId="0" borderId="52" xfId="0" applyNumberFormat="1" applyFont="1" applyFill="1" applyBorder="1" applyAlignment="1">
      <alignment vertical="top" wrapText="1"/>
    </xf>
    <xf numFmtId="0" fontId="32" fillId="0" borderId="52" xfId="0" applyFont="1" applyFill="1" applyBorder="1" applyAlignment="1">
      <alignment horizontal="left" vertical="top" wrapText="1"/>
    </xf>
    <xf numFmtId="0" fontId="32" fillId="0" borderId="52" xfId="0" applyFont="1" applyFill="1" applyBorder="1" applyAlignment="1">
      <alignment horizontal="center" vertical="center"/>
    </xf>
    <xf numFmtId="0" fontId="32" fillId="0" borderId="52" xfId="0" applyFont="1" applyFill="1" applyBorder="1" applyAlignment="1">
      <alignment horizontal="center" vertical="center" wrapText="1"/>
    </xf>
    <xf numFmtId="166" fontId="32" fillId="0" borderId="52" xfId="0" applyNumberFormat="1" applyFont="1" applyFill="1" applyBorder="1" applyAlignment="1">
      <alignment horizontal="left" vertical="top" wrapText="1"/>
    </xf>
    <xf numFmtId="1" fontId="32" fillId="0" borderId="52" xfId="0" applyNumberFormat="1" applyFont="1" applyBorder="1" applyAlignment="1">
      <alignment vertical="top" wrapText="1"/>
    </xf>
    <xf numFmtId="166" fontId="32" fillId="0" borderId="52" xfId="0" applyNumberFormat="1" applyFont="1" applyBorder="1" applyAlignment="1">
      <alignment vertical="top" wrapText="1"/>
    </xf>
    <xf numFmtId="0" fontId="32" fillId="0" borderId="52" xfId="0" applyFont="1" applyBorder="1" applyAlignment="1">
      <alignment horizontal="center" vertical="center" wrapText="1"/>
    </xf>
    <xf numFmtId="164" fontId="43" fillId="0" borderId="52" xfId="0" applyNumberFormat="1" applyFont="1" applyBorder="1" applyAlignment="1">
      <alignment vertical="center" wrapText="1"/>
    </xf>
    <xf numFmtId="0" fontId="43" fillId="0" borderId="52" xfId="0" applyFont="1" applyBorder="1" applyAlignment="1">
      <alignment vertical="top" wrapText="1"/>
    </xf>
    <xf numFmtId="0" fontId="43" fillId="0" borderId="52" xfId="0" applyFont="1" applyBorder="1" applyAlignment="1">
      <alignment horizontal="left" vertical="top" wrapText="1"/>
    </xf>
    <xf numFmtId="0" fontId="32" fillId="0" borderId="52" xfId="0" applyFont="1" applyBorder="1" applyAlignment="1">
      <alignment vertical="top" wrapText="1"/>
    </xf>
    <xf numFmtId="166" fontId="32" fillId="0" borderId="52" xfId="0" applyNumberFormat="1" applyFont="1" applyBorder="1" applyAlignment="1">
      <alignment horizontal="left" vertical="top" wrapText="1"/>
    </xf>
    <xf numFmtId="1" fontId="43" fillId="0" borderId="52" xfId="0" applyNumberFormat="1" applyFont="1" applyBorder="1" applyAlignment="1">
      <alignment vertical="top" wrapText="1"/>
    </xf>
    <xf numFmtId="166" fontId="43" fillId="0" borderId="52" xfId="0" applyNumberFormat="1" applyFont="1" applyBorder="1" applyAlignment="1">
      <alignment vertical="top" wrapText="1"/>
    </xf>
    <xf numFmtId="166" fontId="43" fillId="0" borderId="52" xfId="0" applyNumberFormat="1" applyFont="1" applyBorder="1" applyAlignment="1">
      <alignment horizontal="center" vertical="top" wrapText="1"/>
    </xf>
    <xf numFmtId="0" fontId="32" fillId="0" borderId="52" xfId="0" applyFont="1" applyBorder="1" applyAlignment="1">
      <alignment horizontal="left" vertical="top" wrapText="1"/>
    </xf>
    <xf numFmtId="164" fontId="43" fillId="0" borderId="52" xfId="1" applyNumberFormat="1" applyFont="1" applyFill="1" applyBorder="1" applyAlignment="1">
      <alignment horizontal="center" vertical="center" wrapText="1"/>
    </xf>
    <xf numFmtId="0" fontId="43" fillId="0" borderId="52" xfId="0" applyFont="1" applyBorder="1" applyAlignment="1">
      <alignment horizontal="center" vertical="center" wrapText="1"/>
    </xf>
    <xf numFmtId="0" fontId="32" fillId="0" borderId="52" xfId="0" applyFont="1" applyFill="1" applyBorder="1" applyAlignment="1">
      <alignment vertical="top" wrapText="1"/>
    </xf>
    <xf numFmtId="0" fontId="22" fillId="5" borderId="52" xfId="0" applyFont="1" applyFill="1" applyBorder="1" applyAlignment="1">
      <alignment horizontal="center" vertical="center" wrapText="1"/>
    </xf>
    <xf numFmtId="0" fontId="21" fillId="5" borderId="52" xfId="0" applyFont="1" applyFill="1" applyBorder="1" applyAlignment="1">
      <alignment horizontal="center" vertical="center" wrapText="1"/>
    </xf>
    <xf numFmtId="0" fontId="21" fillId="5" borderId="52" xfId="0" applyFont="1" applyFill="1" applyBorder="1" applyAlignment="1">
      <alignment horizontal="center" vertical="top" wrapText="1"/>
    </xf>
    <xf numFmtId="0" fontId="22" fillId="0" borderId="52" xfId="0" applyFont="1" applyBorder="1" applyAlignment="1">
      <alignment vertical="center"/>
    </xf>
    <xf numFmtId="166" fontId="22" fillId="5" borderId="52" xfId="0" applyNumberFormat="1" applyFont="1" applyFill="1" applyBorder="1" applyAlignment="1">
      <alignment horizontal="center" vertical="top" wrapText="1"/>
    </xf>
    <xf numFmtId="0" fontId="22" fillId="5" borderId="52" xfId="0" applyFont="1" applyFill="1" applyBorder="1" applyAlignment="1">
      <alignment horizontal="center" vertical="top" wrapText="1"/>
    </xf>
    <xf numFmtId="0" fontId="21" fillId="5" borderId="52" xfId="0" applyFont="1" applyFill="1" applyBorder="1" applyAlignment="1">
      <alignment vertical="top"/>
    </xf>
    <xf numFmtId="0" fontId="32" fillId="0" borderId="52" xfId="0" applyFont="1" applyFill="1" applyBorder="1" applyAlignment="1">
      <alignment vertical="center" wrapText="1"/>
    </xf>
    <xf numFmtId="0" fontId="32" fillId="0" borderId="52" xfId="0" applyNumberFormat="1" applyFont="1" applyFill="1" applyBorder="1" applyAlignment="1">
      <alignment horizontal="center" vertical="center"/>
    </xf>
    <xf numFmtId="0" fontId="31" fillId="0" borderId="9" xfId="0" applyNumberFormat="1" applyFont="1" applyFill="1" applyBorder="1" applyAlignment="1" applyProtection="1">
      <alignment wrapText="1"/>
    </xf>
    <xf numFmtId="0" fontId="31" fillId="4" borderId="9" xfId="0" applyNumberFormat="1" applyFont="1" applyFill="1" applyBorder="1" applyAlignment="1" applyProtection="1">
      <alignment wrapText="1"/>
    </xf>
    <xf numFmtId="0" fontId="32" fillId="0" borderId="52" xfId="0" applyFont="1" applyFill="1" applyBorder="1" applyAlignment="1">
      <alignment vertical="top"/>
    </xf>
    <xf numFmtId="0" fontId="45" fillId="0" borderId="52" xfId="0" applyFont="1" applyFill="1" applyBorder="1" applyAlignment="1">
      <alignment horizontal="center" vertical="top"/>
    </xf>
    <xf numFmtId="0" fontId="32" fillId="0" borderId="52" xfId="0" applyFont="1" applyFill="1" applyBorder="1" applyAlignment="1">
      <alignment horizontal="center" vertical="top"/>
    </xf>
    <xf numFmtId="0" fontId="32" fillId="4" borderId="52" xfId="0" applyFont="1" applyFill="1" applyBorder="1" applyAlignment="1">
      <alignment vertical="center" wrapText="1"/>
    </xf>
    <xf numFmtId="0" fontId="32" fillId="0" borderId="52" xfId="4" applyFont="1" applyFill="1" applyBorder="1" applyAlignment="1">
      <alignment horizontal="left" vertical="justify"/>
    </xf>
    <xf numFmtId="0" fontId="46" fillId="0" borderId="52" xfId="4" applyFont="1" applyFill="1" applyBorder="1" applyAlignment="1">
      <alignment horizontal="center" vertical="center" wrapText="1"/>
    </xf>
    <xf numFmtId="0" fontId="32" fillId="0" borderId="52" xfId="4" applyFont="1" applyFill="1" applyBorder="1" applyAlignment="1">
      <alignment vertical="center" wrapText="1"/>
    </xf>
    <xf numFmtId="0" fontId="32" fillId="0" borderId="52" xfId="4" applyNumberFormat="1" applyFont="1" applyFill="1" applyBorder="1" applyAlignment="1">
      <alignment horizontal="left" wrapText="1"/>
    </xf>
    <xf numFmtId="0" fontId="32" fillId="0" borderId="52" xfId="4" applyFont="1" applyFill="1" applyBorder="1" applyAlignment="1">
      <alignment horizontal="left" vertical="center" wrapText="1"/>
    </xf>
    <xf numFmtId="0" fontId="32" fillId="0" borderId="52" xfId="0" applyFont="1" applyBorder="1" applyAlignment="1">
      <alignment horizontal="left" vertical="top"/>
    </xf>
    <xf numFmtId="0" fontId="32" fillId="0" borderId="52" xfId="0" applyFont="1" applyBorder="1" applyAlignment="1">
      <alignment horizontal="center" vertical="top"/>
    </xf>
    <xf numFmtId="1" fontId="43" fillId="0" borderId="52" xfId="0" applyNumberFormat="1" applyFont="1" applyFill="1" applyBorder="1" applyAlignment="1">
      <alignment vertical="top" wrapText="1"/>
    </xf>
    <xf numFmtId="166" fontId="43" fillId="0" borderId="52" xfId="0" applyNumberFormat="1" applyFont="1" applyFill="1" applyBorder="1" applyAlignment="1">
      <alignment vertical="top" wrapText="1"/>
    </xf>
    <xf numFmtId="1" fontId="32" fillId="0" borderId="52" xfId="0" applyNumberFormat="1" applyFont="1" applyFill="1" applyBorder="1" applyAlignment="1">
      <alignment vertical="top" wrapText="1"/>
    </xf>
    <xf numFmtId="166" fontId="43" fillId="0" borderId="52" xfId="0" applyNumberFormat="1" applyFont="1" applyFill="1" applyBorder="1" applyAlignment="1">
      <alignment horizontal="center" vertical="top" wrapText="1"/>
    </xf>
    <xf numFmtId="0" fontId="43" fillId="0" borderId="52" xfId="0" applyFont="1" applyFill="1" applyBorder="1" applyAlignment="1">
      <alignment horizontal="center" vertical="center" wrapText="1"/>
    </xf>
    <xf numFmtId="164" fontId="43" fillId="0" borderId="52" xfId="1" applyNumberFormat="1" applyFont="1" applyFill="1" applyBorder="1" applyAlignment="1">
      <alignment vertical="center" wrapText="1"/>
    </xf>
    <xf numFmtId="0" fontId="43" fillId="0" borderId="52" xfId="0" applyFont="1" applyFill="1" applyBorder="1" applyAlignment="1">
      <alignment vertical="top" wrapText="1"/>
    </xf>
    <xf numFmtId="0" fontId="43" fillId="0" borderId="52" xfId="0" applyFont="1" applyFill="1" applyBorder="1" applyAlignment="1">
      <alignment horizontal="left" vertical="top" wrapText="1"/>
    </xf>
    <xf numFmtId="0" fontId="44" fillId="0" borderId="52" xfId="0" applyFont="1" applyFill="1" applyBorder="1" applyAlignment="1">
      <alignment vertical="top"/>
    </xf>
    <xf numFmtId="164" fontId="43" fillId="5" borderId="52" xfId="1" applyNumberFormat="1" applyFont="1" applyFill="1" applyBorder="1" applyAlignment="1">
      <alignment vertical="center" wrapText="1"/>
    </xf>
    <xf numFmtId="0" fontId="43" fillId="5" borderId="52" xfId="0" applyFont="1" applyFill="1" applyBorder="1" applyAlignment="1">
      <alignment horizontal="center" vertical="center" wrapText="1"/>
    </xf>
    <xf numFmtId="0" fontId="32" fillId="0" borderId="52" xfId="0" applyFont="1" applyFill="1" applyBorder="1" applyAlignment="1">
      <alignment horizontal="center" vertical="top" wrapText="1"/>
    </xf>
    <xf numFmtId="0" fontId="32" fillId="2" borderId="52" xfId="0" applyFont="1" applyFill="1" applyBorder="1" applyAlignment="1">
      <alignment horizontal="left" vertical="top"/>
    </xf>
    <xf numFmtId="0" fontId="45" fillId="0" borderId="52" xfId="0" applyFont="1" applyFill="1" applyBorder="1" applyAlignment="1">
      <alignment horizontal="center" vertical="center"/>
    </xf>
    <xf numFmtId="0" fontId="32" fillId="0" borderId="52" xfId="0" applyFont="1" applyBorder="1" applyAlignment="1">
      <alignment vertical="top"/>
    </xf>
    <xf numFmtId="0" fontId="43" fillId="0" borderId="52" xfId="0" applyFont="1" applyFill="1" applyBorder="1" applyAlignment="1">
      <alignment horizontal="center" vertical="top"/>
    </xf>
    <xf numFmtId="1" fontId="32" fillId="5" borderId="52" xfId="0" applyNumberFormat="1" applyFont="1" applyFill="1" applyBorder="1" applyAlignment="1">
      <alignment vertical="top" wrapText="1"/>
    </xf>
    <xf numFmtId="166" fontId="32" fillId="5" borderId="52" xfId="0" applyNumberFormat="1" applyFont="1" applyFill="1" applyBorder="1" applyAlignment="1">
      <alignment vertical="top" wrapText="1"/>
    </xf>
    <xf numFmtId="0" fontId="32" fillId="5" borderId="52" xfId="0" applyFont="1" applyFill="1" applyBorder="1" applyAlignment="1">
      <alignment horizontal="center" vertical="center" wrapText="1"/>
    </xf>
    <xf numFmtId="1" fontId="32" fillId="0" borderId="52" xfId="0" applyNumberFormat="1" applyFont="1" applyFill="1" applyBorder="1" applyAlignment="1">
      <alignment horizontal="center" vertical="top" wrapText="1"/>
    </xf>
    <xf numFmtId="166" fontId="32" fillId="6" borderId="52" xfId="0" applyNumberFormat="1" applyFont="1" applyFill="1" applyBorder="1" applyAlignment="1">
      <alignment horizontal="left" vertical="top" wrapText="1"/>
    </xf>
    <xf numFmtId="166" fontId="43" fillId="5" borderId="52" xfId="0" applyNumberFormat="1" applyFont="1" applyFill="1" applyBorder="1" applyAlignment="1">
      <alignment horizontal="center" vertical="top" wrapText="1"/>
    </xf>
    <xf numFmtId="1" fontId="32" fillId="4" borderId="52" xfId="0" applyNumberFormat="1" applyFont="1" applyFill="1" applyBorder="1" applyAlignment="1">
      <alignment vertical="top" wrapText="1"/>
    </xf>
    <xf numFmtId="0" fontId="32" fillId="4" borderId="52"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36" fillId="6" borderId="43" xfId="0" applyFont="1" applyFill="1" applyBorder="1" applyAlignment="1">
      <alignment horizontal="center"/>
    </xf>
    <xf numFmtId="0" fontId="36" fillId="6" borderId="43" xfId="0" applyFont="1" applyFill="1" applyBorder="1" applyAlignment="1">
      <alignment wrapText="1"/>
    </xf>
    <xf numFmtId="0" fontId="22" fillId="4" borderId="52" xfId="0" applyFont="1" applyFill="1" applyBorder="1" applyAlignment="1">
      <alignment wrapText="1"/>
    </xf>
    <xf numFmtId="0" fontId="40" fillId="4" borderId="0" xfId="0" applyFont="1" applyFill="1"/>
    <xf numFmtId="166" fontId="43" fillId="4" borderId="52" xfId="0" applyNumberFormat="1" applyFont="1" applyFill="1" applyBorder="1" applyAlignment="1">
      <alignment horizontal="center" vertical="top" wrapText="1"/>
    </xf>
    <xf numFmtId="0" fontId="43" fillId="4" borderId="52" xfId="0" applyFont="1" applyFill="1" applyBorder="1" applyAlignment="1">
      <alignment horizontal="center" vertical="center" wrapText="1"/>
    </xf>
    <xf numFmtId="0" fontId="36" fillId="6" borderId="53" xfId="0" applyFont="1" applyFill="1" applyBorder="1" applyAlignment="1">
      <alignment horizontal="center" vertical="center" wrapText="1"/>
    </xf>
    <xf numFmtId="0" fontId="36" fillId="6" borderId="53" xfId="0" applyFont="1" applyFill="1" applyBorder="1" applyAlignment="1">
      <alignment horizontal="center"/>
    </xf>
    <xf numFmtId="0" fontId="36" fillId="6" borderId="53" xfId="0" applyFont="1" applyFill="1" applyBorder="1" applyAlignment="1">
      <alignment wrapText="1"/>
    </xf>
    <xf numFmtId="1" fontId="34" fillId="4" borderId="9" xfId="0" applyNumberFormat="1" applyFont="1" applyFill="1" applyBorder="1" applyAlignment="1">
      <alignment vertical="top" wrapText="1"/>
    </xf>
    <xf numFmtId="166" fontId="36" fillId="6" borderId="53" xfId="0" applyNumberFormat="1" applyFont="1" applyFill="1" applyBorder="1" applyAlignment="1">
      <alignment horizontal="center" vertical="top" wrapText="1"/>
    </xf>
    <xf numFmtId="0" fontId="34" fillId="6" borderId="53"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22" fillId="4" borderId="51" xfId="0" applyFont="1" applyFill="1" applyBorder="1" applyAlignment="1">
      <alignment horizontal="center"/>
    </xf>
    <xf numFmtId="0" fontId="22" fillId="4" borderId="51" xfId="0" applyFont="1" applyFill="1" applyBorder="1" applyAlignment="1">
      <alignment wrapText="1"/>
    </xf>
    <xf numFmtId="0" fontId="21" fillId="4" borderId="52" xfId="0" applyFont="1" applyFill="1" applyBorder="1" applyAlignment="1">
      <alignment horizontal="center" vertical="center" wrapText="1"/>
    </xf>
    <xf numFmtId="0" fontId="22" fillId="4" borderId="52" xfId="0" applyFont="1" applyFill="1" applyBorder="1" applyAlignment="1">
      <alignment horizontal="center" vertical="center" wrapText="1"/>
    </xf>
    <xf numFmtId="0" fontId="22" fillId="4" borderId="52" xfId="0" applyFont="1" applyFill="1" applyBorder="1" applyAlignment="1">
      <alignment horizontal="center"/>
    </xf>
    <xf numFmtId="0" fontId="32" fillId="0" borderId="52" xfId="0" applyFont="1" applyFill="1" applyBorder="1" applyAlignment="1">
      <alignment horizontal="right" vertical="center"/>
    </xf>
    <xf numFmtId="0" fontId="32" fillId="0" borderId="52" xfId="0" applyNumberFormat="1" applyFont="1" applyFill="1" applyBorder="1" applyAlignment="1">
      <alignment horizontal="center" vertical="center" wrapText="1"/>
    </xf>
    <xf numFmtId="0" fontId="32" fillId="0" borderId="52" xfId="0" applyFont="1" applyFill="1" applyBorder="1" applyAlignment="1">
      <alignment horizontal="right" vertical="center" wrapText="1"/>
    </xf>
    <xf numFmtId="164" fontId="43" fillId="0" borderId="52" xfId="3" applyNumberFormat="1" applyFont="1" applyFill="1" applyBorder="1" applyAlignment="1">
      <alignment vertical="center" wrapText="1"/>
    </xf>
    <xf numFmtId="166" fontId="32" fillId="0" borderId="52" xfId="0" applyNumberFormat="1" applyFont="1" applyBorder="1" applyAlignment="1">
      <alignment horizontal="center" vertical="top" wrapText="1"/>
    </xf>
    <xf numFmtId="0" fontId="6" fillId="0" borderId="52" xfId="0" applyFont="1" applyBorder="1" applyAlignment="1">
      <alignment horizontal="center" vertical="center" wrapText="1"/>
    </xf>
    <xf numFmtId="0" fontId="5" fillId="0" borderId="52" xfId="0" applyFont="1" applyBorder="1" applyAlignment="1">
      <alignment horizontal="center" vertical="top" wrapText="1"/>
    </xf>
    <xf numFmtId="0" fontId="5" fillId="0" borderId="52" xfId="0" applyFont="1" applyFill="1" applyBorder="1" applyAlignment="1">
      <alignment vertical="top" wrapText="1"/>
    </xf>
    <xf numFmtId="0" fontId="5" fillId="0" borderId="52" xfId="0" applyFont="1" applyFill="1" applyBorder="1" applyAlignment="1">
      <alignment horizontal="center" vertical="top" wrapText="1"/>
    </xf>
    <xf numFmtId="0" fontId="6" fillId="5" borderId="52"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2" fillId="0" borderId="52" xfId="0" applyFont="1" applyFill="1" applyBorder="1" applyAlignment="1">
      <alignment horizontal="center" vertical="top"/>
    </xf>
    <xf numFmtId="0" fontId="6" fillId="5" borderId="52" xfId="0" applyFont="1" applyFill="1" applyBorder="1" applyAlignment="1">
      <alignment horizontal="center" vertical="top" wrapText="1"/>
    </xf>
    <xf numFmtId="166" fontId="32" fillId="5" borderId="52" xfId="0" applyNumberFormat="1" applyFont="1" applyFill="1" applyBorder="1" applyAlignment="1">
      <alignment horizontal="center" vertical="top" wrapText="1"/>
    </xf>
    <xf numFmtId="0" fontId="6" fillId="0" borderId="52" xfId="0" applyFont="1" applyBorder="1" applyAlignment="1">
      <alignment vertical="top" wrapText="1"/>
    </xf>
    <xf numFmtId="0" fontId="9" fillId="0" borderId="0" xfId="0" applyFont="1" applyAlignment="1">
      <alignment wrapText="1"/>
    </xf>
    <xf numFmtId="0" fontId="14" fillId="0" borderId="0" xfId="0" applyFont="1" applyAlignment="1">
      <alignment horizontal="left"/>
    </xf>
    <xf numFmtId="0" fontId="9" fillId="0" borderId="0" xfId="0" applyFont="1"/>
    <xf numFmtId="0" fontId="12" fillId="0" borderId="0" xfId="0" applyFont="1" applyAlignment="1">
      <alignment wrapText="1"/>
    </xf>
    <xf numFmtId="0" fontId="5" fillId="0" borderId="0" xfId="0" applyFont="1" applyAlignment="1">
      <alignment horizontal="center" wrapText="1"/>
    </xf>
    <xf numFmtId="0" fontId="2" fillId="4" borderId="0" xfId="0" applyFont="1" applyFill="1" applyAlignment="1">
      <alignment vertical="top"/>
    </xf>
    <xf numFmtId="0" fontId="6" fillId="7" borderId="51" xfId="0" applyFont="1" applyFill="1" applyBorder="1" applyAlignment="1">
      <alignment vertical="top"/>
    </xf>
    <xf numFmtId="1" fontId="5" fillId="7" borderId="51" xfId="0" applyNumberFormat="1" applyFont="1" applyFill="1" applyBorder="1" applyAlignment="1">
      <alignment vertical="top" wrapText="1"/>
    </xf>
    <xf numFmtId="166" fontId="5" fillId="7" borderId="51" xfId="0" applyNumberFormat="1" applyFont="1" applyFill="1" applyBorder="1" applyAlignment="1">
      <alignment horizontal="center" vertical="top" wrapText="1"/>
    </xf>
    <xf numFmtId="0" fontId="6" fillId="7" borderId="51" xfId="0" applyFont="1" applyFill="1" applyBorder="1" applyAlignment="1">
      <alignment horizontal="center" vertical="center" wrapText="1"/>
    </xf>
    <xf numFmtId="0" fontId="2" fillId="4" borderId="51" xfId="0" applyFont="1" applyFill="1" applyBorder="1" applyAlignment="1">
      <alignment horizontal="center" vertical="top"/>
    </xf>
    <xf numFmtId="0" fontId="6" fillId="4" borderId="51" xfId="0" applyFont="1" applyFill="1" applyBorder="1" applyAlignment="1">
      <alignment horizontal="center" vertical="top" wrapText="1"/>
    </xf>
    <xf numFmtId="41" fontId="14" fillId="0" borderId="6" xfId="2" applyNumberFormat="1" applyFont="1" applyBorder="1" applyAlignment="1">
      <alignment vertical="center"/>
    </xf>
    <xf numFmtId="41" fontId="14" fillId="0" borderId="24" xfId="2" applyFont="1" applyBorder="1" applyAlignment="1">
      <alignment vertical="center"/>
    </xf>
    <xf numFmtId="0" fontId="14" fillId="0" borderId="24" xfId="0" applyFont="1" applyBorder="1" applyAlignment="1">
      <alignment vertical="center" wrapText="1"/>
    </xf>
    <xf numFmtId="0" fontId="6" fillId="0" borderId="0" xfId="0" applyFont="1" applyFill="1" applyAlignment="1">
      <alignment wrapText="1"/>
    </xf>
    <xf numFmtId="0" fontId="6" fillId="0" borderId="0" xfId="0" applyFont="1" applyFill="1" applyAlignment="1">
      <alignment horizontal="right" wrapText="1"/>
    </xf>
    <xf numFmtId="0" fontId="0" fillId="0" borderId="0" xfId="0" applyFont="1" applyFill="1"/>
    <xf numFmtId="0" fontId="35" fillId="0" borderId="0" xfId="0" applyFont="1" applyFill="1" applyBorder="1" applyAlignment="1"/>
    <xf numFmtId="0" fontId="35" fillId="0" borderId="0" xfId="0" applyFont="1" applyFill="1" applyBorder="1" applyAlignment="1">
      <alignment horizontal="center"/>
    </xf>
    <xf numFmtId="164" fontId="6" fillId="0" borderId="45" xfId="1" applyNumberFormat="1" applyFont="1" applyFill="1" applyBorder="1" applyAlignment="1">
      <alignment horizontal="center" vertical="top" wrapText="1"/>
    </xf>
    <xf numFmtId="49" fontId="6" fillId="0" borderId="45" xfId="1" quotePrefix="1" applyNumberFormat="1" applyFont="1" applyFill="1" applyBorder="1" applyAlignment="1">
      <alignment vertical="center" wrapText="1"/>
    </xf>
    <xf numFmtId="49" fontId="6" fillId="0" borderId="45" xfId="1" quotePrefix="1" applyNumberFormat="1" applyFont="1" applyFill="1" applyBorder="1" applyAlignment="1">
      <alignment horizontal="center" vertical="center" wrapText="1"/>
    </xf>
    <xf numFmtId="49" fontId="6" fillId="0" borderId="45" xfId="1" applyNumberFormat="1" applyFont="1" applyFill="1" applyBorder="1" applyAlignment="1">
      <alignment horizontal="center" vertical="center" wrapText="1"/>
    </xf>
    <xf numFmtId="49" fontId="6" fillId="0" borderId="50" xfId="1" applyNumberFormat="1" applyFont="1" applyFill="1" applyBorder="1" applyAlignment="1">
      <alignment horizontal="center" vertical="center" wrapText="1"/>
    </xf>
    <xf numFmtId="49" fontId="0" fillId="0" borderId="0" xfId="0" applyNumberFormat="1" applyFont="1" applyFill="1" applyAlignment="1">
      <alignment horizontal="center"/>
    </xf>
    <xf numFmtId="164" fontId="6" fillId="0" borderId="45" xfId="1" applyNumberFormat="1" applyFont="1" applyFill="1" applyBorder="1" applyAlignment="1">
      <alignment vertical="center" wrapText="1"/>
    </xf>
    <xf numFmtId="164" fontId="6" fillId="0" borderId="45" xfId="1" applyNumberFormat="1" applyFont="1" applyFill="1" applyBorder="1" applyAlignment="1">
      <alignment horizontal="center" vertical="center" wrapText="1"/>
    </xf>
    <xf numFmtId="164" fontId="5" fillId="0" borderId="45" xfId="1" applyNumberFormat="1" applyFont="1" applyFill="1" applyBorder="1" applyAlignment="1">
      <alignment horizontal="center" vertical="center" wrapText="1"/>
    </xf>
    <xf numFmtId="164" fontId="6" fillId="0" borderId="51" xfId="1" applyNumberFormat="1" applyFont="1" applyFill="1" applyBorder="1" applyAlignment="1">
      <alignment vertical="center" wrapText="1"/>
    </xf>
    <xf numFmtId="164" fontId="6" fillId="0" borderId="51" xfId="1" applyNumberFormat="1" applyFont="1" applyFill="1" applyBorder="1" applyAlignment="1">
      <alignment horizontal="center" vertical="center" wrapText="1"/>
    </xf>
    <xf numFmtId="164" fontId="5" fillId="0" borderId="51" xfId="1" applyNumberFormat="1" applyFont="1" applyFill="1" applyBorder="1" applyAlignment="1">
      <alignment horizontal="center" vertical="center" wrapText="1"/>
    </xf>
    <xf numFmtId="0" fontId="6" fillId="0" borderId="51" xfId="0" applyFont="1" applyFill="1" applyBorder="1" applyAlignment="1">
      <alignment vertical="top" wrapText="1"/>
    </xf>
    <xf numFmtId="0" fontId="6" fillId="0" borderId="51" xfId="0" applyFont="1" applyFill="1" applyBorder="1" applyAlignment="1">
      <alignment horizontal="left" vertical="top" wrapText="1"/>
    </xf>
    <xf numFmtId="0" fontId="6" fillId="0" borderId="51" xfId="0" applyFont="1" applyFill="1" applyBorder="1" applyAlignment="1">
      <alignment horizontal="center" vertical="center" wrapText="1"/>
    </xf>
    <xf numFmtId="0" fontId="6" fillId="0" borderId="51" xfId="0" applyFont="1" applyFill="1" applyBorder="1" applyAlignment="1">
      <alignment horizontal="center" vertical="top" wrapText="1"/>
    </xf>
    <xf numFmtId="0" fontId="6" fillId="0" borderId="51" xfId="0" applyFont="1" applyFill="1" applyBorder="1" applyAlignment="1">
      <alignment vertical="top"/>
    </xf>
    <xf numFmtId="166" fontId="5" fillId="0" borderId="52" xfId="0" applyNumberFormat="1" applyFont="1" applyFill="1" applyBorder="1" applyAlignment="1">
      <alignment vertical="top" wrapText="1"/>
    </xf>
    <xf numFmtId="0" fontId="5" fillId="0" borderId="52" xfId="0" applyFont="1" applyFill="1" applyBorder="1" applyAlignment="1">
      <alignment vertical="center" wrapText="1"/>
    </xf>
    <xf numFmtId="0" fontId="5" fillId="0" borderId="52" xfId="0" applyFont="1" applyFill="1" applyBorder="1" applyAlignment="1">
      <alignment horizontal="center" vertical="center" wrapText="1"/>
    </xf>
    <xf numFmtId="0" fontId="5" fillId="0" borderId="52" xfId="0" applyNumberFormat="1" applyFont="1" applyFill="1" applyBorder="1" applyAlignment="1">
      <alignment horizontal="center" vertical="center"/>
    </xf>
    <xf numFmtId="0" fontId="12" fillId="0" borderId="9" xfId="0" applyNumberFormat="1" applyFont="1" applyFill="1" applyBorder="1" applyAlignment="1" applyProtection="1">
      <alignment wrapText="1"/>
    </xf>
    <xf numFmtId="0" fontId="5" fillId="0" borderId="52" xfId="0" applyFont="1" applyFill="1" applyBorder="1" applyAlignment="1">
      <alignment horizontal="center" vertical="center"/>
    </xf>
    <xf numFmtId="0" fontId="12" fillId="4" borderId="9" xfId="0" applyNumberFormat="1" applyFont="1" applyFill="1" applyBorder="1" applyAlignment="1" applyProtection="1">
      <alignment wrapText="1"/>
    </xf>
    <xf numFmtId="0" fontId="5" fillId="0" borderId="52" xfId="0" applyFont="1" applyFill="1" applyBorder="1" applyAlignment="1">
      <alignment vertical="top"/>
    </xf>
    <xf numFmtId="0" fontId="0" fillId="0" borderId="52" xfId="0" applyFont="1" applyFill="1" applyBorder="1" applyAlignment="1">
      <alignment horizontal="center" vertical="top"/>
    </xf>
    <xf numFmtId="0" fontId="5" fillId="0" borderId="52" xfId="0" applyFont="1" applyFill="1" applyBorder="1" applyAlignment="1">
      <alignment horizontal="center" vertical="top"/>
    </xf>
    <xf numFmtId="0" fontId="5" fillId="4" borderId="52" xfId="0" applyFont="1" applyFill="1" applyBorder="1" applyAlignment="1">
      <alignment vertical="center" wrapText="1"/>
    </xf>
    <xf numFmtId="0" fontId="5" fillId="0" borderId="52" xfId="4" applyFont="1" applyFill="1" applyBorder="1" applyAlignment="1">
      <alignment horizontal="left" vertical="justify"/>
    </xf>
    <xf numFmtId="0" fontId="49" fillId="0" borderId="52" xfId="4" applyFont="1" applyFill="1" applyBorder="1" applyAlignment="1">
      <alignment horizontal="center" vertical="center" wrapText="1"/>
    </xf>
    <xf numFmtId="0" fontId="5" fillId="0" borderId="52" xfId="4" applyFont="1" applyFill="1" applyBorder="1" applyAlignment="1">
      <alignment vertical="center" wrapText="1"/>
    </xf>
    <xf numFmtId="0" fontId="5" fillId="0" borderId="52" xfId="4" applyNumberFormat="1" applyFont="1" applyFill="1" applyBorder="1" applyAlignment="1">
      <alignment horizontal="left" wrapText="1"/>
    </xf>
    <xf numFmtId="0" fontId="5" fillId="0" borderId="52" xfId="4" applyFont="1" applyFill="1" applyBorder="1" applyAlignment="1">
      <alignment horizontal="left" vertical="center" wrapText="1"/>
    </xf>
    <xf numFmtId="0" fontId="5" fillId="0" borderId="52" xfId="0" applyFont="1" applyBorder="1" applyAlignment="1">
      <alignment horizontal="left" vertical="top"/>
    </xf>
    <xf numFmtId="0" fontId="5" fillId="0" borderId="52" xfId="0" applyFont="1" applyBorder="1" applyAlignment="1">
      <alignment horizontal="center" vertical="top"/>
    </xf>
    <xf numFmtId="1" fontId="6" fillId="0" borderId="52" xfId="0" applyNumberFormat="1" applyFont="1" applyFill="1" applyBorder="1" applyAlignment="1">
      <alignment vertical="top" wrapText="1"/>
    </xf>
    <xf numFmtId="166" fontId="6" fillId="0" borderId="52" xfId="0" applyNumberFormat="1" applyFont="1" applyFill="1" applyBorder="1" applyAlignment="1">
      <alignment vertical="top" wrapText="1"/>
    </xf>
    <xf numFmtId="1" fontId="5" fillId="0" borderId="52" xfId="0" applyNumberFormat="1" applyFont="1" applyFill="1" applyBorder="1" applyAlignment="1">
      <alignment vertical="top" wrapText="1"/>
    </xf>
    <xf numFmtId="1" fontId="5" fillId="7" borderId="52" xfId="0" applyNumberFormat="1" applyFont="1" applyFill="1" applyBorder="1" applyAlignment="1">
      <alignment vertical="top" wrapText="1"/>
    </xf>
    <xf numFmtId="166" fontId="6" fillId="7" borderId="52" xfId="0" applyNumberFormat="1" applyFont="1" applyFill="1" applyBorder="1" applyAlignment="1">
      <alignment horizontal="center" vertical="top" wrapText="1"/>
    </xf>
    <xf numFmtId="0" fontId="6" fillId="7" borderId="52" xfId="0" applyFont="1" applyFill="1" applyBorder="1" applyAlignment="1">
      <alignment horizontal="center" vertical="center" wrapText="1"/>
    </xf>
    <xf numFmtId="0" fontId="5" fillId="7" borderId="51" xfId="0" applyFont="1" applyFill="1" applyBorder="1" applyAlignment="1">
      <alignment horizontal="center" vertical="top" wrapText="1"/>
    </xf>
    <xf numFmtId="0" fontId="5" fillId="7" borderId="51" xfId="0" applyFont="1" applyFill="1" applyBorder="1" applyAlignment="1">
      <alignment vertical="top"/>
    </xf>
    <xf numFmtId="164" fontId="6" fillId="0" borderId="52" xfId="1" applyNumberFormat="1" applyFont="1" applyFill="1" applyBorder="1" applyAlignment="1">
      <alignment vertical="center" wrapText="1"/>
    </xf>
    <xf numFmtId="0" fontId="6" fillId="0" borderId="52" xfId="0" applyFont="1" applyFill="1" applyBorder="1" applyAlignment="1">
      <alignment vertical="top" wrapText="1"/>
    </xf>
    <xf numFmtId="0" fontId="6" fillId="0" borderId="52" xfId="0" applyFont="1" applyFill="1" applyBorder="1" applyAlignment="1">
      <alignment horizontal="left" vertical="top" wrapText="1"/>
    </xf>
    <xf numFmtId="0" fontId="5" fillId="0" borderId="52" xfId="0" applyFont="1" applyFill="1" applyBorder="1" applyAlignment="1">
      <alignment horizontal="left" vertical="top" wrapText="1"/>
    </xf>
    <xf numFmtId="166" fontId="5" fillId="0" borderId="52" xfId="0" applyNumberFormat="1" applyFont="1" applyFill="1" applyBorder="1" applyAlignment="1">
      <alignment horizontal="left" vertical="top" wrapText="1"/>
    </xf>
    <xf numFmtId="1" fontId="6" fillId="0" borderId="52" xfId="0" applyNumberFormat="1" applyFont="1" applyBorder="1" applyAlignment="1">
      <alignment vertical="top" wrapText="1"/>
    </xf>
    <xf numFmtId="166" fontId="6" fillId="0" borderId="52" xfId="0" applyNumberFormat="1" applyFont="1" applyBorder="1" applyAlignment="1">
      <alignment vertical="top" wrapText="1"/>
    </xf>
    <xf numFmtId="166" fontId="5" fillId="0" borderId="52" xfId="0" applyNumberFormat="1" applyFont="1" applyBorder="1" applyAlignment="1">
      <alignment vertical="top" wrapText="1"/>
    </xf>
    <xf numFmtId="166" fontId="5" fillId="7" borderId="52" xfId="0" applyNumberFormat="1" applyFont="1" applyFill="1" applyBorder="1" applyAlignment="1">
      <alignment vertical="top" wrapText="1"/>
    </xf>
    <xf numFmtId="0" fontId="5" fillId="0" borderId="52" xfId="0" applyFont="1" applyBorder="1" applyAlignment="1">
      <alignment horizontal="left" vertical="top" wrapText="1"/>
    </xf>
    <xf numFmtId="1" fontId="5" fillId="4" borderId="52" xfId="0" applyNumberFormat="1" applyFont="1" applyFill="1" applyBorder="1" applyAlignment="1">
      <alignment vertical="top" wrapText="1"/>
    </xf>
    <xf numFmtId="0" fontId="5" fillId="4" borderId="52" xfId="0" applyFont="1" applyFill="1" applyBorder="1" applyAlignment="1">
      <alignment horizontal="left" vertical="top" wrapText="1"/>
    </xf>
    <xf numFmtId="0" fontId="5" fillId="4" borderId="52" xfId="0" applyFont="1" applyFill="1" applyBorder="1" applyAlignment="1">
      <alignment horizontal="center" vertical="center" wrapText="1"/>
    </xf>
    <xf numFmtId="0" fontId="5" fillId="4" borderId="51" xfId="0" applyFont="1" applyFill="1" applyBorder="1" applyAlignment="1">
      <alignment vertical="top"/>
    </xf>
    <xf numFmtId="0" fontId="5" fillId="4" borderId="52" xfId="0" applyFont="1" applyFill="1" applyBorder="1" applyAlignment="1">
      <alignment horizontal="center" vertical="top" wrapText="1"/>
    </xf>
    <xf numFmtId="0" fontId="6" fillId="4" borderId="52" xfId="0" applyFont="1" applyFill="1" applyBorder="1" applyAlignment="1">
      <alignment vertical="center"/>
    </xf>
    <xf numFmtId="166" fontId="6" fillId="4" borderId="52" xfId="0" applyNumberFormat="1" applyFont="1" applyFill="1" applyBorder="1" applyAlignment="1">
      <alignment horizontal="center" vertical="top" wrapText="1"/>
    </xf>
    <xf numFmtId="0" fontId="6" fillId="4" borderId="52" xfId="0" applyFont="1" applyFill="1" applyBorder="1" applyAlignment="1">
      <alignment horizontal="center" vertical="top" wrapText="1"/>
    </xf>
    <xf numFmtId="0" fontId="5" fillId="4" borderId="52" xfId="0" applyFont="1" applyFill="1" applyBorder="1" applyAlignment="1">
      <alignment vertical="top"/>
    </xf>
    <xf numFmtId="0" fontId="2" fillId="7" borderId="52" xfId="0" applyFont="1" applyFill="1" applyBorder="1" applyAlignment="1">
      <alignment vertical="top"/>
    </xf>
    <xf numFmtId="164" fontId="6" fillId="4" borderId="52" xfId="1" applyNumberFormat="1" applyFont="1" applyFill="1" applyBorder="1" applyAlignment="1">
      <alignment vertical="center" wrapText="1"/>
    </xf>
    <xf numFmtId="0" fontId="6" fillId="4" borderId="52" xfId="0" applyFont="1" applyFill="1" applyBorder="1" applyAlignment="1">
      <alignment horizontal="center" vertical="center" wrapText="1"/>
    </xf>
    <xf numFmtId="164" fontId="6" fillId="5" borderId="52" xfId="1" applyNumberFormat="1" applyFont="1" applyFill="1" applyBorder="1" applyAlignment="1">
      <alignment vertical="center" wrapText="1"/>
    </xf>
    <xf numFmtId="0" fontId="5" fillId="5" borderId="51" xfId="0" applyFont="1" applyFill="1" applyBorder="1" applyAlignment="1">
      <alignment horizontal="center" vertical="top" wrapText="1"/>
    </xf>
    <xf numFmtId="0" fontId="6" fillId="5" borderId="51" xfId="0" applyFont="1" applyFill="1" applyBorder="1" applyAlignment="1">
      <alignment vertical="center"/>
    </xf>
    <xf numFmtId="166" fontId="6" fillId="5" borderId="51" xfId="0" applyNumberFormat="1" applyFont="1" applyFill="1" applyBorder="1" applyAlignment="1">
      <alignment horizontal="center" vertical="center" wrapText="1"/>
    </xf>
    <xf numFmtId="164" fontId="6" fillId="0" borderId="51" xfId="0" applyNumberFormat="1" applyFont="1" applyBorder="1" applyAlignment="1">
      <alignment vertical="center" wrapText="1"/>
    </xf>
    <xf numFmtId="0" fontId="6" fillId="0" borderId="51" xfId="0" applyFont="1" applyBorder="1" applyAlignment="1">
      <alignment vertical="top" wrapText="1"/>
    </xf>
    <xf numFmtId="0" fontId="6" fillId="0" borderId="51" xfId="0" applyFont="1" applyBorder="1" applyAlignment="1">
      <alignment horizontal="left" vertical="top" wrapText="1"/>
    </xf>
    <xf numFmtId="0" fontId="6" fillId="0" borderId="52" xfId="0" applyFont="1" applyFill="1" applyBorder="1" applyAlignment="1">
      <alignment horizontal="center" vertical="center" wrapText="1"/>
    </xf>
    <xf numFmtId="1" fontId="5" fillId="0" borderId="52" xfId="0" applyNumberFormat="1" applyFont="1" applyBorder="1" applyAlignment="1">
      <alignment vertical="top" wrapText="1"/>
    </xf>
    <xf numFmtId="0" fontId="0" fillId="0" borderId="0" xfId="0" applyFont="1" applyFill="1" applyAlignment="1">
      <alignment vertical="top"/>
    </xf>
    <xf numFmtId="1" fontId="6" fillId="7" borderId="52" xfId="0" applyNumberFormat="1" applyFont="1" applyFill="1" applyBorder="1" applyAlignment="1">
      <alignment vertical="top" wrapText="1"/>
    </xf>
    <xf numFmtId="164" fontId="6" fillId="7" borderId="52" xfId="1" applyNumberFormat="1" applyFont="1" applyFill="1" applyBorder="1" applyAlignment="1">
      <alignment horizontal="center" vertical="center" wrapText="1"/>
    </xf>
    <xf numFmtId="164" fontId="6" fillId="0" borderId="52" xfId="0" applyNumberFormat="1" applyFont="1" applyBorder="1" applyAlignment="1">
      <alignment vertical="center" wrapText="1"/>
    </xf>
    <xf numFmtId="0" fontId="6" fillId="0" borderId="52" xfId="0" applyFont="1" applyBorder="1" applyAlignment="1">
      <alignment horizontal="left" vertical="top" wrapText="1"/>
    </xf>
    <xf numFmtId="166" fontId="5" fillId="0" borderId="52" xfId="0" applyNumberFormat="1" applyFont="1" applyBorder="1" applyAlignment="1">
      <alignment horizontal="left" vertical="top" wrapText="1"/>
    </xf>
    <xf numFmtId="164" fontId="6" fillId="0" borderId="51" xfId="3" applyNumberFormat="1" applyFont="1" applyFill="1" applyBorder="1" applyAlignment="1">
      <alignment vertical="center" wrapText="1"/>
    </xf>
    <xf numFmtId="164" fontId="6" fillId="0" borderId="51" xfId="3" applyNumberFormat="1" applyFont="1" applyFill="1" applyBorder="1" applyAlignment="1">
      <alignment horizontal="center" vertical="center" wrapText="1"/>
    </xf>
    <xf numFmtId="164" fontId="5" fillId="0" borderId="51" xfId="3" applyNumberFormat="1" applyFont="1" applyFill="1" applyBorder="1" applyAlignment="1">
      <alignment horizontal="center" vertical="center" wrapText="1"/>
    </xf>
    <xf numFmtId="0" fontId="5" fillId="0" borderId="51" xfId="0" applyFont="1" applyBorder="1" applyAlignment="1">
      <alignment horizontal="center" vertical="top" wrapText="1"/>
    </xf>
    <xf numFmtId="0" fontId="5" fillId="0" borderId="52" xfId="0" applyFont="1" applyFill="1" applyBorder="1" applyAlignment="1">
      <alignment horizontal="right" vertical="center"/>
    </xf>
    <xf numFmtId="0" fontId="5" fillId="0" borderId="52" xfId="0" applyNumberFormat="1" applyFont="1" applyFill="1" applyBorder="1" applyAlignment="1">
      <alignment horizontal="center" vertical="center" wrapText="1"/>
    </xf>
    <xf numFmtId="0" fontId="5" fillId="0" borderId="52" xfId="0" applyFont="1" applyFill="1" applyBorder="1" applyAlignment="1">
      <alignment horizontal="right" vertical="center" wrapText="1"/>
    </xf>
    <xf numFmtId="164" fontId="6" fillId="0" borderId="52" xfId="3" applyNumberFormat="1" applyFont="1" applyFill="1" applyBorder="1" applyAlignment="1">
      <alignment vertical="center" wrapText="1"/>
    </xf>
    <xf numFmtId="166" fontId="5" fillId="7" borderId="52" xfId="0" applyNumberFormat="1" applyFont="1" applyFill="1" applyBorder="1" applyAlignment="1">
      <alignment horizontal="center" vertical="top" wrapText="1"/>
    </xf>
    <xf numFmtId="1" fontId="5" fillId="5" borderId="52" xfId="0" applyNumberFormat="1" applyFont="1" applyFill="1" applyBorder="1" applyAlignment="1">
      <alignment vertical="top" wrapText="1"/>
    </xf>
    <xf numFmtId="166" fontId="6" fillId="5" borderId="52" xfId="0" applyNumberFormat="1" applyFont="1" applyFill="1" applyBorder="1" applyAlignment="1">
      <alignment horizontal="center" vertical="top" wrapText="1"/>
    </xf>
    <xf numFmtId="0" fontId="5" fillId="5" borderId="51" xfId="0" applyFont="1" applyFill="1" applyBorder="1" applyAlignment="1">
      <alignment vertical="top"/>
    </xf>
    <xf numFmtId="0" fontId="5" fillId="4" borderId="51" xfId="0" applyFont="1" applyFill="1" applyBorder="1" applyAlignment="1">
      <alignment horizontal="center" vertical="center" wrapText="1"/>
    </xf>
    <xf numFmtId="0" fontId="5" fillId="4" borderId="51" xfId="0" applyFont="1" applyFill="1" applyBorder="1" applyAlignment="1">
      <alignment horizontal="center" vertical="center"/>
    </xf>
    <xf numFmtId="0" fontId="6" fillId="4" borderId="51" xfId="0" applyFont="1" applyFill="1" applyBorder="1" applyAlignment="1">
      <alignment horizontal="center" vertical="center" wrapText="1"/>
    </xf>
    <xf numFmtId="166" fontId="5" fillId="5" borderId="52" xfId="0" applyNumberFormat="1" applyFont="1" applyFill="1" applyBorder="1" applyAlignment="1">
      <alignment horizontal="center" vertical="top" wrapText="1"/>
    </xf>
    <xf numFmtId="0" fontId="5" fillId="5" borderId="52" xfId="0" applyFont="1" applyFill="1" applyBorder="1" applyAlignment="1">
      <alignment vertical="top"/>
    </xf>
    <xf numFmtId="0" fontId="6" fillId="0" borderId="52" xfId="0" applyFont="1" applyFill="1" applyBorder="1" applyAlignment="1">
      <alignment horizontal="center" vertical="top" wrapText="1"/>
    </xf>
    <xf numFmtId="0" fontId="5" fillId="2" borderId="52" xfId="0" applyFont="1" applyFill="1" applyBorder="1" applyAlignment="1">
      <alignment horizontal="left" vertical="top"/>
    </xf>
    <xf numFmtId="0" fontId="0" fillId="0" borderId="52" xfId="0" applyFont="1" applyFill="1" applyBorder="1" applyAlignment="1">
      <alignment horizontal="center" vertical="center"/>
    </xf>
    <xf numFmtId="0" fontId="5" fillId="0" borderId="52" xfId="0" applyFont="1" applyBorder="1" applyAlignment="1">
      <alignment vertical="top"/>
    </xf>
    <xf numFmtId="166" fontId="5" fillId="4" borderId="52" xfId="0" applyNumberFormat="1" applyFont="1" applyFill="1" applyBorder="1" applyAlignment="1">
      <alignment vertical="top" wrapText="1"/>
    </xf>
    <xf numFmtId="1" fontId="5" fillId="4" borderId="51" xfId="0" applyNumberFormat="1" applyFont="1" applyFill="1" applyBorder="1" applyAlignment="1">
      <alignment horizontal="center" vertical="center" wrapText="1"/>
    </xf>
    <xf numFmtId="0" fontId="5" fillId="4" borderId="51" xfId="0" applyFont="1" applyFill="1" applyBorder="1" applyAlignment="1">
      <alignment horizontal="center" vertical="top" wrapText="1"/>
    </xf>
    <xf numFmtId="0" fontId="6" fillId="7" borderId="52" xfId="0" applyFont="1" applyFill="1" applyBorder="1" applyAlignment="1">
      <alignment horizontal="center" vertical="top"/>
    </xf>
    <xf numFmtId="0" fontId="5" fillId="7" borderId="52" xfId="0" applyFont="1" applyFill="1" applyBorder="1" applyAlignment="1">
      <alignment horizontal="center" vertical="center"/>
    </xf>
    <xf numFmtId="0" fontId="5" fillId="0" borderId="51" xfId="0" applyFont="1" applyFill="1" applyBorder="1" applyAlignment="1">
      <alignment horizontal="justify" vertical="center" wrapText="1"/>
    </xf>
    <xf numFmtId="0" fontId="0" fillId="0" borderId="51" xfId="0" applyFont="1" applyFill="1" applyBorder="1" applyAlignment="1">
      <alignment horizontal="center" vertical="top"/>
    </xf>
    <xf numFmtId="0" fontId="5" fillId="0" borderId="51" xfId="0" applyFont="1" applyFill="1" applyBorder="1" applyAlignment="1">
      <alignment horizontal="left" vertical="top" wrapText="1"/>
    </xf>
    <xf numFmtId="0" fontId="5" fillId="0" borderId="52" xfId="0" applyFont="1" applyFill="1" applyBorder="1" applyAlignment="1">
      <alignment horizontal="center"/>
    </xf>
    <xf numFmtId="0" fontId="5" fillId="0" borderId="51" xfId="0" applyFont="1" applyFill="1" applyBorder="1" applyAlignment="1">
      <alignment horizontal="center"/>
    </xf>
    <xf numFmtId="0" fontId="5" fillId="0" borderId="51" xfId="0" applyFont="1" applyFill="1" applyBorder="1" applyAlignment="1">
      <alignment wrapText="1"/>
    </xf>
    <xf numFmtId="0" fontId="6" fillId="0" borderId="51" xfId="0" applyFont="1" applyFill="1" applyBorder="1" applyAlignment="1">
      <alignment wrapText="1"/>
    </xf>
    <xf numFmtId="165" fontId="5" fillId="0" borderId="51" xfId="0" applyNumberFormat="1" applyFont="1" applyFill="1" applyBorder="1" applyAlignment="1">
      <alignment wrapText="1"/>
    </xf>
    <xf numFmtId="0" fontId="0" fillId="0" borderId="52" xfId="0" applyFont="1" applyFill="1" applyBorder="1"/>
    <xf numFmtId="0" fontId="5" fillId="0" borderId="51" xfId="0" quotePrefix="1" applyFont="1" applyFill="1" applyBorder="1" applyAlignment="1"/>
    <xf numFmtId="0" fontId="0" fillId="0" borderId="52" xfId="0" applyFont="1" applyFill="1" applyBorder="1" applyAlignment="1">
      <alignment horizontal="center" wrapText="1"/>
    </xf>
    <xf numFmtId="0" fontId="5" fillId="0" borderId="51" xfId="0" quotePrefix="1" applyFont="1" applyFill="1" applyBorder="1" applyAlignment="1">
      <alignment horizontal="left"/>
    </xf>
    <xf numFmtId="166" fontId="5" fillId="5" borderId="52" xfId="0" applyNumberFormat="1" applyFont="1" applyFill="1" applyBorder="1" applyAlignment="1">
      <alignment vertical="top" wrapText="1"/>
    </xf>
    <xf numFmtId="166" fontId="5" fillId="6" borderId="52" xfId="0" applyNumberFormat="1" applyFont="1" applyFill="1" applyBorder="1" applyAlignment="1">
      <alignment horizontal="left" vertical="top" wrapText="1"/>
    </xf>
    <xf numFmtId="0" fontId="6" fillId="4" borderId="51" xfId="0" applyFont="1" applyFill="1" applyBorder="1" applyAlignment="1">
      <alignment horizontal="center"/>
    </xf>
    <xf numFmtId="0" fontId="6" fillId="4" borderId="51" xfId="0" applyFont="1" applyFill="1" applyBorder="1" applyAlignment="1">
      <alignment wrapText="1"/>
    </xf>
    <xf numFmtId="0" fontId="0" fillId="4" borderId="0" xfId="0" applyFont="1" applyFill="1"/>
    <xf numFmtId="0" fontId="6" fillId="4" borderId="52" xfId="0" applyFont="1" applyFill="1" applyBorder="1" applyAlignment="1">
      <alignment horizontal="center"/>
    </xf>
    <xf numFmtId="0" fontId="6" fillId="4" borderId="52" xfId="0" applyFont="1" applyFill="1" applyBorder="1" applyAlignment="1">
      <alignment wrapText="1"/>
    </xf>
    <xf numFmtId="0" fontId="6" fillId="6" borderId="43" xfId="0" applyFont="1" applyFill="1" applyBorder="1" applyAlignment="1">
      <alignment wrapText="1"/>
    </xf>
    <xf numFmtId="0" fontId="6" fillId="6" borderId="53" xfId="0" applyFont="1" applyFill="1" applyBorder="1" applyAlignment="1">
      <alignment wrapText="1"/>
    </xf>
    <xf numFmtId="0" fontId="6" fillId="8" borderId="53" xfId="0" applyFont="1" applyFill="1" applyBorder="1" applyAlignment="1">
      <alignment wrapText="1"/>
    </xf>
    <xf numFmtId="0" fontId="6" fillId="5" borderId="52" xfId="0" applyFont="1" applyFill="1" applyBorder="1" applyAlignment="1">
      <alignment wrapText="1"/>
    </xf>
    <xf numFmtId="1" fontId="5" fillId="4" borderId="9" xfId="0" applyNumberFormat="1" applyFont="1" applyFill="1" applyBorder="1" applyAlignment="1">
      <alignment vertical="top" wrapText="1"/>
    </xf>
    <xf numFmtId="166" fontId="6" fillId="6" borderId="53" xfId="0" applyNumberFormat="1" applyFont="1" applyFill="1" applyBorder="1" applyAlignment="1">
      <alignment horizontal="center" vertical="top" wrapText="1"/>
    </xf>
    <xf numFmtId="0" fontId="6" fillId="6" borderId="53"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6" fillId="6" borderId="53" xfId="0" applyFont="1" applyFill="1" applyBorder="1" applyAlignment="1">
      <alignment horizontal="center"/>
    </xf>
    <xf numFmtId="1" fontId="6" fillId="0" borderId="51" xfId="0" applyNumberFormat="1" applyFont="1" applyFill="1" applyBorder="1" applyAlignment="1">
      <alignment vertical="top" wrapText="1"/>
    </xf>
    <xf numFmtId="0" fontId="6" fillId="0" borderId="51" xfId="0" applyFont="1" applyFill="1" applyBorder="1" applyAlignment="1">
      <alignment horizontal="justify" vertical="center" wrapText="1"/>
    </xf>
    <xf numFmtId="1" fontId="5" fillId="0" borderId="51" xfId="0" applyNumberFormat="1" applyFont="1" applyFill="1" applyBorder="1" applyAlignment="1">
      <alignment vertical="top" wrapText="1"/>
    </xf>
    <xf numFmtId="0" fontId="0" fillId="0" borderId="0" xfId="0" applyFont="1" applyFill="1" applyAlignment="1">
      <alignment horizontal="center"/>
    </xf>
    <xf numFmtId="0" fontId="5" fillId="0" borderId="0" xfId="0" applyFont="1" applyFill="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0" fontId="6" fillId="0" borderId="0" xfId="0" applyFont="1" applyFill="1" applyAlignment="1">
      <alignment horizontal="center" wrapText="1"/>
    </xf>
    <xf numFmtId="0" fontId="5" fillId="0" borderId="51" xfId="0" applyFont="1" applyFill="1" applyBorder="1" applyAlignment="1">
      <alignment horizontal="center" vertical="center" wrapText="1"/>
    </xf>
    <xf numFmtId="0" fontId="5" fillId="0" borderId="0" xfId="0" applyFont="1" applyFill="1" applyAlignment="1">
      <alignment horizontal="center"/>
    </xf>
    <xf numFmtId="0" fontId="6" fillId="0" borderId="0" xfId="0" applyFont="1" applyFill="1" applyAlignment="1">
      <alignment horizontal="center"/>
    </xf>
    <xf numFmtId="0" fontId="6" fillId="0" borderId="52" xfId="0" applyFont="1" applyFill="1" applyBorder="1" applyAlignment="1">
      <alignment vertical="top"/>
    </xf>
    <xf numFmtId="0" fontId="50" fillId="0" borderId="9" xfId="0" applyNumberFormat="1" applyFont="1" applyFill="1" applyBorder="1" applyAlignment="1" applyProtection="1">
      <alignment wrapText="1"/>
    </xf>
    <xf numFmtId="0" fontId="43" fillId="0" borderId="9" xfId="0" applyFont="1" applyFill="1" applyBorder="1" applyAlignment="1">
      <alignment vertical="center" wrapText="1"/>
    </xf>
    <xf numFmtId="0" fontId="43" fillId="0" borderId="52" xfId="0" applyFont="1" applyFill="1" applyBorder="1" applyAlignment="1">
      <alignment vertical="center" wrapText="1"/>
    </xf>
    <xf numFmtId="166" fontId="6" fillId="0" borderId="52" xfId="0" applyNumberFormat="1" applyFont="1" applyFill="1" applyBorder="1" applyAlignment="1">
      <alignment horizontal="left" vertical="top" wrapText="1"/>
    </xf>
    <xf numFmtId="0" fontId="5" fillId="0" borderId="0" xfId="0" applyFont="1" applyFill="1" applyBorder="1" applyAlignment="1">
      <alignment horizontal="center" vertical="top" wrapText="1"/>
    </xf>
    <xf numFmtId="0" fontId="6" fillId="4" borderId="52" xfId="0" applyFont="1" applyFill="1" applyBorder="1" applyAlignment="1">
      <alignment horizontal="left" vertical="top" wrapText="1"/>
    </xf>
    <xf numFmtId="166" fontId="6" fillId="0" borderId="52" xfId="0" applyNumberFormat="1" applyFont="1" applyBorder="1" applyAlignment="1">
      <alignment horizontal="left" vertical="top" wrapText="1"/>
    </xf>
    <xf numFmtId="164" fontId="6" fillId="0" borderId="52" xfId="3" applyNumberFormat="1" applyFont="1" applyFill="1" applyBorder="1" applyAlignment="1">
      <alignment horizontal="center" vertical="center" wrapText="1"/>
    </xf>
    <xf numFmtId="164" fontId="5" fillId="0" borderId="52" xfId="3" applyNumberFormat="1" applyFont="1" applyFill="1" applyBorder="1" applyAlignment="1">
      <alignment horizontal="center" vertical="center" wrapText="1"/>
    </xf>
    <xf numFmtId="0" fontId="22" fillId="0" borderId="0" xfId="0" applyFont="1" applyAlignment="1">
      <alignment horizontal="right"/>
    </xf>
    <xf numFmtId="0" fontId="5" fillId="0" borderId="51" xfId="0" applyFont="1" applyFill="1" applyBorder="1" applyAlignment="1">
      <alignment horizontal="center" vertical="center" wrapText="1"/>
    </xf>
    <xf numFmtId="0" fontId="25" fillId="0" borderId="32" xfId="0" applyFont="1" applyBorder="1" applyAlignment="1">
      <alignment vertical="center" wrapText="1"/>
    </xf>
    <xf numFmtId="0" fontId="22" fillId="0" borderId="0" xfId="0" applyFont="1" applyAlignment="1">
      <alignment horizontal="center" vertical="center"/>
    </xf>
    <xf numFmtId="0" fontId="22" fillId="0" borderId="0" xfId="0" applyFont="1" applyFill="1" applyAlignment="1">
      <alignment horizontal="center"/>
    </xf>
    <xf numFmtId="0" fontId="21" fillId="0" borderId="0" xfId="0" applyFont="1" applyAlignment="1">
      <alignment horizontal="center"/>
    </xf>
    <xf numFmtId="0" fontId="22" fillId="0" borderId="0" xfId="0" applyFont="1" applyAlignment="1">
      <alignment vertical="center"/>
    </xf>
    <xf numFmtId="0" fontId="14" fillId="0" borderId="0" xfId="0" applyFont="1" applyAlignment="1">
      <alignment horizontal="righ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xf>
    <xf numFmtId="0" fontId="6" fillId="0" borderId="0" xfId="0" applyFont="1" applyAlignment="1">
      <alignment horizontal="center" vertical="center" wrapText="1"/>
    </xf>
    <xf numFmtId="0" fontId="35" fillId="0" borderId="0" xfId="0" applyFont="1" applyBorder="1" applyAlignment="1">
      <alignment horizontal="center" vertical="center"/>
    </xf>
    <xf numFmtId="164" fontId="6" fillId="0" borderId="33" xfId="1" applyNumberFormat="1" applyFont="1" applyBorder="1" applyAlignment="1">
      <alignment horizontal="center" vertical="center" wrapText="1"/>
    </xf>
    <xf numFmtId="164" fontId="6" fillId="0" borderId="34" xfId="1" applyNumberFormat="1"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Font="1" applyBorder="1" applyAlignment="1">
      <alignment vertical="center"/>
    </xf>
    <xf numFmtId="0" fontId="5" fillId="0" borderId="0" xfId="0" applyFont="1" applyBorder="1" applyAlignment="1">
      <alignment vertical="center" wrapText="1"/>
    </xf>
    <xf numFmtId="0" fontId="35" fillId="0" borderId="0" xfId="0" applyFont="1" applyBorder="1" applyAlignment="1">
      <alignment vertical="center" wrapText="1"/>
    </xf>
    <xf numFmtId="0" fontId="0" fillId="0" borderId="0" xfId="0" applyFont="1" applyBorder="1" applyAlignment="1">
      <alignment horizontal="center" vertical="center"/>
    </xf>
    <xf numFmtId="0" fontId="6" fillId="0" borderId="0" xfId="0" applyFont="1" applyBorder="1" applyAlignment="1">
      <alignment vertical="center" wrapText="1"/>
    </xf>
    <xf numFmtId="0" fontId="5" fillId="0" borderId="0" xfId="0" applyFont="1" applyBorder="1" applyAlignment="1">
      <alignment horizontal="left" vertical="center" wrapText="1"/>
    </xf>
    <xf numFmtId="0" fontId="6" fillId="0" borderId="0" xfId="0" applyFont="1" applyBorder="1" applyAlignment="1">
      <alignment horizontal="center" vertical="center" wrapText="1"/>
    </xf>
    <xf numFmtId="165" fontId="5" fillId="0" borderId="0" xfId="0" applyNumberFormat="1" applyFont="1" applyBorder="1" applyAlignment="1">
      <alignment vertical="center" wrapText="1"/>
    </xf>
    <xf numFmtId="0" fontId="6" fillId="0" borderId="0" xfId="0" applyFont="1" applyBorder="1" applyAlignment="1">
      <alignment horizontal="center" vertical="center"/>
    </xf>
    <xf numFmtId="0" fontId="0" fillId="0" borderId="0" xfId="0" applyFont="1" applyAlignment="1">
      <alignment horizontal="center" vertical="center"/>
    </xf>
    <xf numFmtId="164" fontId="13" fillId="0" borderId="10" xfId="1" applyNumberFormat="1" applyFont="1" applyBorder="1" applyAlignment="1">
      <alignment horizontal="center" vertical="center" wrapText="1"/>
    </xf>
    <xf numFmtId="164" fontId="13" fillId="0" borderId="11" xfId="1" applyNumberFormat="1" applyFont="1" applyBorder="1" applyAlignment="1">
      <alignment horizontal="center" vertical="center" wrapText="1"/>
    </xf>
    <xf numFmtId="164" fontId="13" fillId="0" borderId="12" xfId="1" applyNumberFormat="1" applyFont="1" applyBorder="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wrapText="1"/>
    </xf>
    <xf numFmtId="0" fontId="0" fillId="0" borderId="0" xfId="0" applyFont="1"/>
    <xf numFmtId="0" fontId="35" fillId="0" borderId="44" xfId="0" applyFont="1" applyBorder="1" applyAlignment="1">
      <alignment vertical="center"/>
    </xf>
    <xf numFmtId="164" fontId="6" fillId="0" borderId="35" xfId="1" applyNumberFormat="1" applyFont="1" applyBorder="1" applyAlignment="1">
      <alignment horizontal="center" vertical="center" wrapText="1"/>
    </xf>
    <xf numFmtId="0" fontId="0" fillId="0" borderId="0" xfId="0" applyFont="1" applyAlignment="1">
      <alignment vertical="top"/>
    </xf>
    <xf numFmtId="0" fontId="0" fillId="0" borderId="0" xfId="0" applyFont="1" applyAlignment="1">
      <alignment horizontal="center"/>
    </xf>
    <xf numFmtId="0" fontId="0" fillId="0" borderId="0" xfId="0" applyFont="1" applyAlignment="1">
      <alignment wrapText="1"/>
    </xf>
    <xf numFmtId="0" fontId="6" fillId="0" borderId="0" xfId="0" applyFont="1" applyAlignment="1">
      <alignment horizontal="left" vertical="center" wrapText="1"/>
    </xf>
    <xf numFmtId="0" fontId="35" fillId="0" borderId="0" xfId="0" applyFont="1" applyAlignment="1">
      <alignment wrapText="1"/>
    </xf>
    <xf numFmtId="0" fontId="5" fillId="0" borderId="0" xfId="0" applyFont="1" applyAlignment="1">
      <alignment horizontal="left" vertical="center" wrapText="1"/>
    </xf>
    <xf numFmtId="0" fontId="6" fillId="0" borderId="0" xfId="0" applyFont="1" applyAlignment="1">
      <alignment vertical="center" wrapText="1"/>
    </xf>
    <xf numFmtId="0" fontId="35" fillId="0" borderId="44" xfId="0" applyFont="1" applyBorder="1" applyAlignment="1">
      <alignment horizontal="center" vertical="center"/>
    </xf>
    <xf numFmtId="0" fontId="25" fillId="0" borderId="0" xfId="0" applyFont="1" applyAlignment="1">
      <alignment wrapText="1"/>
    </xf>
    <xf numFmtId="0" fontId="52" fillId="0" borderId="0" xfId="0" applyFont="1"/>
    <xf numFmtId="0" fontId="25" fillId="0" borderId="0" xfId="0" applyFont="1"/>
    <xf numFmtId="0" fontId="30" fillId="0" borderId="0" xfId="0" applyFont="1" applyBorder="1" applyAlignment="1"/>
    <xf numFmtId="0" fontId="52" fillId="0" borderId="0" xfId="0" applyFont="1" applyBorder="1"/>
    <xf numFmtId="0" fontId="53" fillId="0" borderId="0" xfId="0" applyFont="1" applyAlignment="1">
      <alignment vertical="top"/>
    </xf>
    <xf numFmtId="0" fontId="25" fillId="0" borderId="0" xfId="0" applyFont="1" applyAlignment="1">
      <alignment horizontal="center"/>
    </xf>
    <xf numFmtId="0" fontId="24" fillId="0" borderId="0" xfId="0" applyFont="1" applyAlignment="1">
      <alignment wrapText="1"/>
    </xf>
    <xf numFmtId="0" fontId="24" fillId="0" borderId="0" xfId="0" applyFont="1" applyAlignment="1"/>
    <xf numFmtId="0" fontId="25" fillId="0" borderId="0" xfId="0" applyFont="1" applyAlignment="1"/>
    <xf numFmtId="165" fontId="25" fillId="0" borderId="0" xfId="0" applyNumberFormat="1" applyFont="1" applyAlignment="1">
      <alignment wrapText="1"/>
    </xf>
    <xf numFmtId="0" fontId="24" fillId="0" borderId="0" xfId="0" applyFont="1" applyAlignment="1">
      <alignment horizontal="center"/>
    </xf>
    <xf numFmtId="0" fontId="52" fillId="0" borderId="0" xfId="0" applyFont="1" applyAlignment="1">
      <alignment horizontal="center"/>
    </xf>
    <xf numFmtId="0" fontId="52" fillId="0" borderId="0" xfId="0" applyFont="1" applyAlignment="1">
      <alignment wrapText="1"/>
    </xf>
    <xf numFmtId="0" fontId="2" fillId="0" borderId="0" xfId="0" applyFont="1"/>
    <xf numFmtId="164" fontId="25" fillId="0" borderId="55" xfId="1" applyNumberFormat="1" applyFont="1" applyBorder="1" applyAlignment="1">
      <alignment horizontal="center" vertical="center" wrapText="1"/>
    </xf>
    <xf numFmtId="0" fontId="25" fillId="0" borderId="55" xfId="0" applyFont="1" applyBorder="1" applyAlignment="1">
      <alignment horizontal="center" vertical="center"/>
    </xf>
    <xf numFmtId="0" fontId="21" fillId="0" borderId="0" xfId="0" applyFont="1" applyFill="1" applyAlignment="1">
      <alignment horizontal="center"/>
    </xf>
    <xf numFmtId="0" fontId="9" fillId="0" borderId="0" xfId="0" applyFont="1" applyAlignment="1">
      <alignment horizontal="center"/>
    </xf>
    <xf numFmtId="0" fontId="24" fillId="0" borderId="0" xfId="0" applyFont="1" applyAlignment="1">
      <alignment horizontal="center"/>
    </xf>
    <xf numFmtId="0" fontId="14"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horizontal="center" vertical="center"/>
    </xf>
    <xf numFmtId="0" fontId="21" fillId="0" borderId="0" xfId="0" quotePrefix="1" applyFont="1" applyAlignment="1">
      <alignment horizontal="left"/>
    </xf>
    <xf numFmtId="0" fontId="56" fillId="0" borderId="0" xfId="0" applyFont="1" applyFill="1"/>
    <xf numFmtId="49" fontId="56" fillId="0" borderId="0" xfId="0" applyNumberFormat="1" applyFont="1" applyFill="1" applyAlignment="1">
      <alignment horizontal="center"/>
    </xf>
    <xf numFmtId="0" fontId="59" fillId="0" borderId="0" xfId="0" applyFont="1" applyFill="1" applyAlignment="1">
      <alignment vertical="top"/>
    </xf>
    <xf numFmtId="0" fontId="59" fillId="4" borderId="0" xfId="0" applyFont="1" applyFill="1" applyAlignment="1">
      <alignment vertical="top"/>
    </xf>
    <xf numFmtId="0" fontId="56" fillId="0" borderId="0" xfId="0" applyFont="1" applyFill="1" applyAlignment="1">
      <alignment vertical="top"/>
    </xf>
    <xf numFmtId="0" fontId="56" fillId="4" borderId="0" xfId="0" applyFont="1" applyFill="1"/>
    <xf numFmtId="0" fontId="56" fillId="0" borderId="0" xfId="0" applyFont="1" applyFill="1" applyAlignment="1">
      <alignment horizontal="center"/>
    </xf>
    <xf numFmtId="0" fontId="56" fillId="0" borderId="0" xfId="0" applyFont="1" applyFill="1" applyAlignment="1">
      <alignment horizontal="center" wrapText="1"/>
    </xf>
    <xf numFmtId="3" fontId="12" fillId="0" borderId="57" xfId="0" applyNumberFormat="1" applyFont="1" applyBorder="1" applyAlignment="1">
      <alignment horizontal="right" vertical="center" wrapText="1"/>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right" vertical="center"/>
    </xf>
    <xf numFmtId="0" fontId="12" fillId="0" borderId="0" xfId="0" applyFont="1"/>
    <xf numFmtId="0" fontId="63" fillId="0" borderId="0" xfId="0" applyFont="1" applyAlignment="1">
      <alignment horizontal="center"/>
    </xf>
    <xf numFmtId="0" fontId="63" fillId="0" borderId="0" xfId="0" applyFont="1"/>
    <xf numFmtId="3" fontId="63" fillId="0" borderId="0" xfId="0" applyNumberFormat="1" applyFont="1" applyAlignment="1">
      <alignment horizontal="right" vertical="top" wrapText="1"/>
    </xf>
    <xf numFmtId="0" fontId="62" fillId="0" borderId="0" xfId="0" applyFont="1" applyAlignment="1">
      <alignment horizontal="center"/>
    </xf>
    <xf numFmtId="0" fontId="65" fillId="0" borderId="0" xfId="0" applyFont="1" applyAlignment="1">
      <alignment horizontal="center"/>
    </xf>
    <xf numFmtId="0" fontId="63" fillId="0" borderId="0" xfId="0" applyFont="1" applyAlignment="1">
      <alignment vertical="center"/>
    </xf>
    <xf numFmtId="0" fontId="63" fillId="0" borderId="0" xfId="0" applyFont="1" applyAlignment="1">
      <alignment horizontal="center" vertical="center"/>
    </xf>
    <xf numFmtId="3" fontId="63" fillId="0" borderId="0" xfId="0" applyNumberFormat="1" applyFont="1" applyAlignment="1">
      <alignment horizontal="right" vertical="center" wrapText="1"/>
    </xf>
    <xf numFmtId="0" fontId="62" fillId="0" borderId="0" xfId="0" applyFont="1" applyAlignment="1">
      <alignment horizontal="center" vertical="center"/>
    </xf>
    <xf numFmtId="0" fontId="13" fillId="0" borderId="0" xfId="0" applyFont="1" applyAlignment="1">
      <alignment vertical="center"/>
    </xf>
    <xf numFmtId="0" fontId="13" fillId="0" borderId="57" xfId="0" applyFont="1" applyBorder="1" applyAlignment="1">
      <alignment horizontal="center" vertical="top" wrapText="1"/>
    </xf>
    <xf numFmtId="0" fontId="64" fillId="0" borderId="57" xfId="0" applyFont="1" applyBorder="1" applyAlignment="1">
      <alignment horizontal="center" vertical="top" wrapText="1"/>
    </xf>
    <xf numFmtId="3" fontId="64" fillId="0" borderId="57" xfId="0" applyNumberFormat="1" applyFont="1" applyBorder="1" applyAlignment="1">
      <alignment horizontal="center" vertical="top" wrapText="1"/>
    </xf>
    <xf numFmtId="0" fontId="66" fillId="0" borderId="57" xfId="0" applyFont="1" applyBorder="1" applyAlignment="1">
      <alignment horizontal="center" vertical="top" wrapText="1"/>
    </xf>
    <xf numFmtId="0" fontId="67" fillId="0" borderId="57" xfId="0" applyFont="1" applyBorder="1"/>
    <xf numFmtId="0" fontId="12" fillId="0" borderId="57" xfId="0" applyFont="1" applyBorder="1" applyAlignment="1">
      <alignment horizontal="center" vertical="top" wrapText="1"/>
    </xf>
    <xf numFmtId="3" fontId="12" fillId="0" borderId="57" xfId="0" applyNumberFormat="1" applyFont="1" applyBorder="1" applyAlignment="1">
      <alignment horizontal="right" vertical="top" wrapText="1"/>
    </xf>
    <xf numFmtId="3" fontId="14" fillId="0" borderId="57" xfId="0" applyNumberFormat="1" applyFont="1" applyBorder="1" applyAlignment="1">
      <alignment horizontal="right" vertical="top" wrapText="1"/>
    </xf>
    <xf numFmtId="0" fontId="12" fillId="0" borderId="57" xfId="0" applyFont="1" applyBorder="1"/>
    <xf numFmtId="0" fontId="62" fillId="0" borderId="57" xfId="0" applyFont="1" applyBorder="1"/>
    <xf numFmtId="3" fontId="9" fillId="0" borderId="57" xfId="0" applyNumberFormat="1" applyFont="1" applyBorder="1" applyAlignment="1">
      <alignment horizontal="right" vertical="top" wrapText="1"/>
    </xf>
    <xf numFmtId="0" fontId="12" fillId="0" borderId="57" xfId="0" applyFont="1" applyBorder="1" applyAlignment="1">
      <alignment horizontal="right" vertical="center"/>
    </xf>
    <xf numFmtId="0" fontId="0" fillId="0" borderId="57" xfId="0" applyBorder="1" applyAlignment="1">
      <alignment horizontal="center"/>
    </xf>
    <xf numFmtId="0" fontId="67" fillId="0" borderId="57" xfId="0" applyFont="1" applyBorder="1" applyAlignment="1">
      <alignment horizontal="center"/>
    </xf>
    <xf numFmtId="0" fontId="12" fillId="0" borderId="57" xfId="0" applyFont="1" applyBorder="1" applyAlignment="1">
      <alignment vertical="center"/>
    </xf>
    <xf numFmtId="0" fontId="62" fillId="0" borderId="57" xfId="0" applyFont="1" applyBorder="1" applyAlignment="1">
      <alignment horizontal="right"/>
    </xf>
    <xf numFmtId="0" fontId="68" fillId="0" borderId="57" xfId="0" applyFont="1" applyBorder="1"/>
    <xf numFmtId="0" fontId="0" fillId="0" borderId="57" xfId="0" applyBorder="1"/>
    <xf numFmtId="0" fontId="12" fillId="0" borderId="57" xfId="0" applyFont="1" applyBorder="1" applyAlignment="1">
      <alignment horizontal="right"/>
    </xf>
    <xf numFmtId="0" fontId="62" fillId="0" borderId="57" xfId="0" applyFont="1" applyBorder="1" applyAlignment="1">
      <alignment vertical="center"/>
    </xf>
    <xf numFmtId="0" fontId="12" fillId="0" borderId="57" xfId="0" applyFont="1" applyBorder="1" applyAlignment="1">
      <alignment horizontal="center" vertical="center" wrapText="1"/>
    </xf>
    <xf numFmtId="0" fontId="62" fillId="0" borderId="57" xfId="0" applyFont="1" applyBorder="1" applyAlignment="1">
      <alignment horizontal="right" vertical="center"/>
    </xf>
    <xf numFmtId="0" fontId="67" fillId="0" borderId="0" xfId="0" applyFont="1"/>
    <xf numFmtId="0" fontId="61" fillId="0" borderId="57" xfId="0" applyFont="1" applyBorder="1" applyAlignment="1">
      <alignment horizontal="center" vertical="top" wrapText="1"/>
    </xf>
    <xf numFmtId="3" fontId="69" fillId="0" borderId="57" xfId="0" applyNumberFormat="1" applyFont="1" applyBorder="1" applyAlignment="1">
      <alignment horizontal="right" vertical="top" wrapText="1"/>
    </xf>
    <xf numFmtId="0" fontId="67" fillId="0" borderId="57" xfId="0" applyFont="1" applyBorder="1" applyAlignment="1">
      <alignment vertical="top" wrapText="1"/>
    </xf>
    <xf numFmtId="0" fontId="61" fillId="0" borderId="57" xfId="0" applyFont="1" applyBorder="1" applyAlignment="1">
      <alignment horizontal="right"/>
    </xf>
    <xf numFmtId="0" fontId="62" fillId="0" borderId="0" xfId="0" applyFont="1"/>
    <xf numFmtId="0" fontId="61" fillId="0" borderId="57" xfId="0" applyFont="1" applyBorder="1"/>
    <xf numFmtId="3" fontId="0" fillId="0" borderId="57" xfId="0" applyNumberFormat="1" applyBorder="1"/>
    <xf numFmtId="0" fontId="64" fillId="0" borderId="57" xfId="0" applyFont="1" applyBorder="1" applyAlignment="1">
      <alignment horizontal="justify" vertical="top" wrapText="1"/>
    </xf>
    <xf numFmtId="0" fontId="12" fillId="0" borderId="57" xfId="0" applyFont="1" applyBorder="1" applyAlignment="1">
      <alignment horizontal="right" vertical="top" wrapText="1"/>
    </xf>
    <xf numFmtId="0" fontId="70" fillId="0" borderId="0" xfId="0" applyFont="1"/>
    <xf numFmtId="3" fontId="0" fillId="0" borderId="54" xfId="0" applyNumberFormat="1" applyBorder="1"/>
    <xf numFmtId="0" fontId="0" fillId="0" borderId="54" xfId="0" applyBorder="1"/>
    <xf numFmtId="0" fontId="65" fillId="0" borderId="0" xfId="0" applyFont="1"/>
    <xf numFmtId="3" fontId="12" fillId="0" borderId="0" xfId="0" applyNumberFormat="1" applyFont="1" applyAlignment="1">
      <alignment horizontal="right" vertical="top" wrapText="1"/>
    </xf>
    <xf numFmtId="0" fontId="64" fillId="0" borderId="0" xfId="0" applyFont="1"/>
    <xf numFmtId="0" fontId="9" fillId="0" borderId="0" xfId="0" applyFont="1" applyAlignment="1">
      <alignment horizontal="center" vertical="center" wrapText="1"/>
    </xf>
    <xf numFmtId="167" fontId="9" fillId="0" borderId="0" xfId="1" applyNumberFormat="1" applyFont="1" applyAlignment="1">
      <alignment vertical="center" wrapText="1"/>
    </xf>
    <xf numFmtId="43" fontId="9" fillId="0" borderId="0" xfId="1" applyFont="1" applyAlignment="1">
      <alignment vertical="center" wrapText="1"/>
    </xf>
    <xf numFmtId="164" fontId="9" fillId="0" borderId="0" xfId="1" applyNumberFormat="1" applyFont="1" applyAlignment="1">
      <alignment horizontal="right" vertical="center" wrapText="1"/>
    </xf>
    <xf numFmtId="164" fontId="9" fillId="0" borderId="0" xfId="1" applyNumberFormat="1" applyFont="1" applyAlignment="1">
      <alignment horizontal="center" vertical="center" wrapText="1"/>
    </xf>
    <xf numFmtId="0" fontId="9" fillId="0" borderId="0" xfId="0" applyFont="1" applyAlignment="1">
      <alignment vertical="center" wrapText="1"/>
    </xf>
    <xf numFmtId="0" fontId="14" fillId="0" borderId="0" xfId="0" applyFont="1" applyAlignment="1">
      <alignment vertical="center" wrapText="1"/>
    </xf>
    <xf numFmtId="0" fontId="69" fillId="0" borderId="0" xfId="0" applyFont="1" applyAlignment="1">
      <alignment vertical="center" wrapText="1"/>
    </xf>
    <xf numFmtId="0" fontId="10" fillId="0" borderId="0" xfId="0" applyFont="1" applyAlignment="1">
      <alignment vertical="center"/>
    </xf>
    <xf numFmtId="0" fontId="7" fillId="0" borderId="0" xfId="0" applyFont="1" applyAlignment="1">
      <alignment vertical="center"/>
    </xf>
    <xf numFmtId="3" fontId="24" fillId="0" borderId="60" xfId="0" applyNumberFormat="1" applyFont="1" applyBorder="1"/>
    <xf numFmtId="3" fontId="0" fillId="0" borderId="60" xfId="0" applyNumberFormat="1" applyBorder="1"/>
    <xf numFmtId="0" fontId="9" fillId="0" borderId="0" xfId="0" applyFont="1" applyAlignment="1">
      <alignment horizontal="center" vertical="center"/>
    </xf>
    <xf numFmtId="167" fontId="14" fillId="0" borderId="0" xfId="1" applyNumberFormat="1" applyFont="1" applyAlignment="1">
      <alignment vertical="center"/>
    </xf>
    <xf numFmtId="43" fontId="14" fillId="0" borderId="0" xfId="1" applyFont="1" applyAlignment="1">
      <alignment vertical="center"/>
    </xf>
    <xf numFmtId="164" fontId="9" fillId="0" borderId="0" xfId="1" applyNumberFormat="1" applyFont="1" applyAlignment="1">
      <alignment horizontal="center" vertical="center"/>
    </xf>
    <xf numFmtId="0" fontId="78" fillId="0" borderId="0" xfId="0" applyFont="1" applyAlignment="1">
      <alignment vertical="center"/>
    </xf>
    <xf numFmtId="0" fontId="69" fillId="0" borderId="0" xfId="0" applyFont="1" applyAlignment="1">
      <alignment vertical="center"/>
    </xf>
    <xf numFmtId="0" fontId="10" fillId="0" borderId="0" xfId="0" applyFont="1" applyAlignment="1">
      <alignment horizontal="center" vertical="center"/>
    </xf>
    <xf numFmtId="167" fontId="10" fillId="0" borderId="0" xfId="1" applyNumberFormat="1" applyFont="1" applyAlignment="1">
      <alignment vertical="center"/>
    </xf>
    <xf numFmtId="43" fontId="10" fillId="0" borderId="0" xfId="1" applyFont="1" applyAlignment="1">
      <alignment vertical="center"/>
    </xf>
    <xf numFmtId="0" fontId="79" fillId="0" borderId="59" xfId="0" applyFont="1" applyBorder="1" applyAlignment="1">
      <alignment horizontal="left" vertical="center"/>
    </xf>
    <xf numFmtId="0" fontId="79" fillId="2" borderId="59" xfId="0" applyFont="1" applyFill="1" applyBorder="1" applyAlignment="1">
      <alignment horizontal="center" vertical="center" wrapText="1"/>
    </xf>
    <xf numFmtId="0" fontId="79" fillId="2" borderId="60" xfId="0" applyFont="1" applyFill="1" applyBorder="1" applyAlignment="1">
      <alignment horizontal="center" vertical="center" wrapText="1"/>
    </xf>
    <xf numFmtId="0" fontId="79" fillId="2" borderId="62" xfId="0" applyFont="1" applyFill="1" applyBorder="1" applyAlignment="1">
      <alignment horizontal="center" vertical="center" wrapText="1"/>
    </xf>
    <xf numFmtId="0" fontId="6" fillId="2" borderId="60" xfId="0" applyFont="1" applyFill="1" applyBorder="1" applyAlignment="1">
      <alignment horizontal="left" vertical="center" wrapText="1"/>
    </xf>
    <xf numFmtId="0" fontId="5" fillId="0" borderId="60" xfId="0" applyFont="1" applyBorder="1"/>
    <xf numFmtId="0" fontId="0" fillId="0" borderId="60" xfId="0" applyBorder="1"/>
    <xf numFmtId="0" fontId="5" fillId="2" borderId="59" xfId="0" applyFont="1" applyFill="1" applyBorder="1" applyAlignment="1">
      <alignment horizontal="center"/>
    </xf>
    <xf numFmtId="0" fontId="80" fillId="2" borderId="60" xfId="0" applyFont="1" applyFill="1" applyBorder="1" applyAlignment="1">
      <alignment horizontal="center" vertical="top"/>
    </xf>
    <xf numFmtId="3" fontId="80" fillId="2" borderId="60" xfId="0" applyNumberFormat="1" applyFont="1" applyFill="1" applyBorder="1" applyAlignment="1">
      <alignment horizontal="center" vertical="top"/>
    </xf>
    <xf numFmtId="3" fontId="80" fillId="2" borderId="62" xfId="0" applyNumberFormat="1" applyFont="1" applyFill="1" applyBorder="1" applyAlignment="1">
      <alignment horizontal="center" vertical="top"/>
    </xf>
    <xf numFmtId="3" fontId="5" fillId="2" borderId="60" xfId="0" applyNumberFormat="1" applyFont="1" applyFill="1" applyBorder="1" applyAlignment="1">
      <alignment horizontal="right"/>
    </xf>
    <xf numFmtId="0" fontId="67" fillId="0" borderId="60" xfId="0" applyFont="1" applyBorder="1" applyAlignment="1">
      <alignment horizontal="center" vertical="top" wrapText="1"/>
    </xf>
    <xf numFmtId="0" fontId="61" fillId="0" borderId="60" xfId="0" applyFont="1" applyBorder="1" applyAlignment="1">
      <alignment horizontal="center" vertical="top" wrapText="1"/>
    </xf>
    <xf numFmtId="0" fontId="63" fillId="0" borderId="60" xfId="0" applyFont="1" applyBorder="1" applyAlignment="1">
      <alignment horizontal="center" vertical="top" wrapText="1"/>
    </xf>
    <xf numFmtId="3" fontId="63" fillId="2" borderId="60" xfId="0" applyNumberFormat="1" applyFont="1" applyFill="1" applyBorder="1" applyAlignment="1">
      <alignment horizontal="center"/>
    </xf>
    <xf numFmtId="3" fontId="0" fillId="0" borderId="60" xfId="0" applyNumberFormat="1" applyBorder="1" applyAlignment="1">
      <alignment horizontal="center" vertical="center"/>
    </xf>
    <xf numFmtId="3" fontId="63" fillId="0" borderId="60" xfId="0" applyNumberFormat="1" applyFont="1" applyBorder="1" applyAlignment="1">
      <alignment horizontal="center"/>
    </xf>
    <xf numFmtId="3" fontId="63" fillId="0" borderId="60" xfId="0" applyNumberFormat="1" applyFont="1" applyBorder="1" applyAlignment="1">
      <alignment horizontal="right"/>
    </xf>
    <xf numFmtId="0" fontId="81" fillId="0" borderId="60" xfId="0" applyFont="1" applyBorder="1" applyAlignment="1">
      <alignment horizontal="center"/>
    </xf>
    <xf numFmtId="3" fontId="81" fillId="0" borderId="60" xfId="0" applyNumberFormat="1" applyFont="1" applyBorder="1" applyAlignment="1">
      <alignment horizontal="right"/>
    </xf>
    <xf numFmtId="0" fontId="66" fillId="0" borderId="60" xfId="0" applyFont="1" applyBorder="1" applyAlignment="1">
      <alignment horizontal="left" vertical="center"/>
    </xf>
    <xf numFmtId="3" fontId="63" fillId="2" borderId="60" xfId="0" applyNumberFormat="1" applyFont="1" applyFill="1" applyBorder="1" applyAlignment="1">
      <alignment horizontal="right"/>
    </xf>
    <xf numFmtId="0" fontId="67" fillId="0" borderId="63" xfId="0" applyFont="1" applyBorder="1" applyAlignment="1">
      <alignment horizontal="center" vertical="top" wrapText="1"/>
    </xf>
    <xf numFmtId="0" fontId="63" fillId="0" borderId="60" xfId="0" applyFont="1" applyBorder="1"/>
    <xf numFmtId="3" fontId="0" fillId="0" borderId="0" xfId="0" applyNumberFormat="1" applyAlignment="1">
      <alignment horizontal="center" vertical="center"/>
    </xf>
    <xf numFmtId="0" fontId="0" fillId="0" borderId="60" xfId="0" applyBorder="1" applyAlignment="1">
      <alignment horizontal="left"/>
    </xf>
    <xf numFmtId="0" fontId="24" fillId="0" borderId="60" xfId="0" applyFont="1" applyBorder="1" applyAlignment="1">
      <alignment horizontal="left"/>
    </xf>
    <xf numFmtId="0" fontId="0" fillId="0" borderId="60" xfId="0" applyBorder="1" applyAlignment="1">
      <alignment horizontal="center"/>
    </xf>
    <xf numFmtId="0" fontId="14" fillId="0" borderId="0" xfId="0" applyFont="1"/>
    <xf numFmtId="0" fontId="14" fillId="2" borderId="0" xfId="0" applyFont="1" applyFill="1"/>
    <xf numFmtId="0" fontId="69" fillId="2" borderId="0" xfId="0" applyFont="1" applyFill="1"/>
    <xf numFmtId="0" fontId="82" fillId="2" borderId="0" xfId="0" applyFont="1" applyFill="1"/>
    <xf numFmtId="0" fontId="82" fillId="2" borderId="0" xfId="0" applyFont="1" applyFill="1" applyAlignment="1">
      <alignment horizontal="center"/>
    </xf>
    <xf numFmtId="0" fontId="83" fillId="2" borderId="0" xfId="0" applyFont="1" applyFill="1" applyAlignment="1">
      <alignment horizontal="center"/>
    </xf>
    <xf numFmtId="3" fontId="0" fillId="0" borderId="0" xfId="0" applyNumberFormat="1" applyAlignment="1">
      <alignment horizontal="center"/>
    </xf>
    <xf numFmtId="0" fontId="14" fillId="2" borderId="0" xfId="0" applyFont="1" applyFill="1" applyAlignment="1">
      <alignment horizontal="center"/>
    </xf>
    <xf numFmtId="0" fontId="84" fillId="0" borderId="0" xfId="0" applyFont="1" applyAlignment="1">
      <alignment horizontal="center"/>
    </xf>
    <xf numFmtId="0" fontId="85" fillId="0" borderId="0" xfId="0" applyFont="1" applyAlignment="1">
      <alignment horizontal="center"/>
    </xf>
    <xf numFmtId="0" fontId="86" fillId="0" borderId="0" xfId="0" applyFont="1" applyAlignment="1">
      <alignment horizontal="center"/>
    </xf>
    <xf numFmtId="0" fontId="87" fillId="0" borderId="0" xfId="0" applyFont="1"/>
    <xf numFmtId="0" fontId="87" fillId="0" borderId="0" xfId="0" applyFont="1" applyAlignment="1">
      <alignment horizontal="center"/>
    </xf>
    <xf numFmtId="0" fontId="83" fillId="0" borderId="0" xfId="0" applyFont="1" applyAlignment="1">
      <alignment horizontal="left"/>
    </xf>
    <xf numFmtId="0" fontId="88" fillId="0" borderId="0" xfId="0" applyFont="1" applyAlignment="1">
      <alignment horizontal="left"/>
    </xf>
    <xf numFmtId="0" fontId="89" fillId="0" borderId="0" xfId="0" applyFont="1" applyAlignment="1">
      <alignment horizontal="left"/>
    </xf>
    <xf numFmtId="0" fontId="90" fillId="0" borderId="0" xfId="0" applyFont="1" applyAlignment="1">
      <alignment horizontal="left"/>
    </xf>
    <xf numFmtId="0" fontId="83" fillId="0" borderId="0" xfId="0" applyFont="1"/>
    <xf numFmtId="0" fontId="83" fillId="0" borderId="0" xfId="0" applyFont="1" applyAlignment="1">
      <alignment horizontal="center"/>
    </xf>
    <xf numFmtId="0" fontId="91" fillId="0" borderId="0" xfId="0" applyFont="1" applyAlignment="1">
      <alignment horizontal="center"/>
    </xf>
    <xf numFmtId="0" fontId="90" fillId="0" borderId="0" xfId="0" applyFont="1" applyAlignment="1">
      <alignment horizontal="center"/>
    </xf>
    <xf numFmtId="0" fontId="14" fillId="2" borderId="0" xfId="0" applyFont="1" applyFill="1" applyAlignment="1">
      <alignment horizontal="center" vertical="center" wrapText="1"/>
    </xf>
    <xf numFmtId="0" fontId="14" fillId="2" borderId="0" xfId="0" quotePrefix="1" applyFont="1" applyFill="1" applyAlignment="1">
      <alignment horizontal="center" vertical="center" wrapText="1"/>
    </xf>
    <xf numFmtId="3" fontId="0" fillId="0" borderId="0" xfId="0" applyNumberFormat="1"/>
    <xf numFmtId="0" fontId="15" fillId="0" borderId="0" xfId="0" applyFont="1"/>
    <xf numFmtId="49" fontId="66" fillId="0" borderId="0" xfId="0" applyNumberFormat="1" applyFont="1" applyAlignment="1">
      <alignment horizontal="center"/>
    </xf>
    <xf numFmtId="0" fontId="14" fillId="0" borderId="0" xfId="0" applyFont="1" applyAlignment="1">
      <alignment horizontal="center" wrapText="1"/>
    </xf>
    <xf numFmtId="0" fontId="92" fillId="0" borderId="0" xfId="0" applyFont="1" applyAlignment="1">
      <alignment wrapText="1"/>
    </xf>
    <xf numFmtId="0" fontId="14" fillId="0" borderId="0" xfId="0" applyFont="1" applyAlignment="1">
      <alignment wrapText="1"/>
    </xf>
    <xf numFmtId="0" fontId="83" fillId="0" borderId="0" xfId="0" applyFont="1" applyAlignment="1">
      <alignment horizontal="center" wrapText="1"/>
    </xf>
    <xf numFmtId="0" fontId="66" fillId="0" borderId="60" xfId="0" applyFont="1" applyBorder="1" applyAlignment="1">
      <alignment horizontal="center" vertical="center" wrapText="1"/>
    </xf>
    <xf numFmtId="49" fontId="66" fillId="0" borderId="60" xfId="0" applyNumberFormat="1" applyFont="1" applyBorder="1" applyAlignment="1">
      <alignment horizontal="center" vertical="center" wrapText="1"/>
    </xf>
    <xf numFmtId="164" fontId="66" fillId="0" borderId="60" xfId="0" applyNumberFormat="1" applyFont="1" applyBorder="1" applyAlignment="1">
      <alignment horizontal="left" vertical="center" wrapText="1"/>
    </xf>
    <xf numFmtId="0" fontId="66" fillId="0" borderId="60" xfId="0" applyFont="1" applyBorder="1" applyAlignment="1">
      <alignment horizontal="left" vertical="center" wrapText="1"/>
    </xf>
    <xf numFmtId="0" fontId="93" fillId="0" borderId="0" xfId="0" applyFont="1"/>
    <xf numFmtId="0" fontId="71" fillId="0" borderId="60" xfId="0" applyFont="1" applyBorder="1" applyAlignment="1">
      <alignment horizontal="center" vertical="center" wrapText="1"/>
    </xf>
    <xf numFmtId="49" fontId="71" fillId="0" borderId="60" xfId="0" applyNumberFormat="1" applyFont="1" applyBorder="1" applyAlignment="1">
      <alignment vertical="top" wrapText="1"/>
    </xf>
    <xf numFmtId="0" fontId="71" fillId="0" borderId="60" xfId="0" applyFont="1" applyBorder="1" applyAlignment="1">
      <alignment horizontal="center" vertical="top" wrapText="1"/>
    </xf>
    <xf numFmtId="0" fontId="71" fillId="0" borderId="62" xfId="0" applyFont="1" applyBorder="1" applyAlignment="1">
      <alignment horizontal="center" vertical="top" wrapText="1"/>
    </xf>
    <xf numFmtId="164" fontId="71" fillId="0" borderId="60" xfId="1" applyNumberFormat="1" applyFont="1" applyBorder="1" applyAlignment="1">
      <alignment horizontal="center" vertical="top" wrapText="1"/>
    </xf>
    <xf numFmtId="164" fontId="71" fillId="0" borderId="60" xfId="1" applyNumberFormat="1" applyFont="1" applyBorder="1" applyAlignment="1">
      <alignment vertical="top" wrapText="1"/>
    </xf>
    <xf numFmtId="0" fontId="62" fillId="0" borderId="60" xfId="0" applyFont="1" applyBorder="1"/>
    <xf numFmtId="164" fontId="66" fillId="0" borderId="60" xfId="1" applyNumberFormat="1" applyFont="1" applyBorder="1" applyAlignment="1">
      <alignment vertical="top" wrapText="1"/>
    </xf>
    <xf numFmtId="0" fontId="66" fillId="0" borderId="60" xfId="0" applyFont="1" applyBorder="1"/>
    <xf numFmtId="49" fontId="66" fillId="0" borderId="60" xfId="0" applyNumberFormat="1" applyFont="1" applyBorder="1" applyAlignment="1">
      <alignment horizontal="left" vertical="center" wrapText="1"/>
    </xf>
    <xf numFmtId="0" fontId="62" fillId="0" borderId="60" xfId="0" applyFont="1" applyBorder="1" applyAlignment="1">
      <alignment horizontal="center" vertical="top" wrapText="1"/>
    </xf>
    <xf numFmtId="164" fontId="62" fillId="0" borderId="60" xfId="1" applyNumberFormat="1" applyFont="1" applyBorder="1" applyAlignment="1">
      <alignment horizontal="center" vertical="center" wrapText="1"/>
    </xf>
    <xf numFmtId="0" fontId="62" fillId="0" borderId="60" xfId="0" applyFont="1" applyBorder="1" applyAlignment="1">
      <alignment horizontal="center" vertical="center" wrapText="1"/>
    </xf>
    <xf numFmtId="49" fontId="62" fillId="0" borderId="60" xfId="0" applyNumberFormat="1" applyFont="1" applyBorder="1" applyAlignment="1">
      <alignment horizontal="left" vertical="center" wrapText="1"/>
    </xf>
    <xf numFmtId="0" fontId="62" fillId="0" borderId="60" xfId="0" applyFont="1" applyBorder="1" applyAlignment="1">
      <alignment horizontal="center"/>
    </xf>
    <xf numFmtId="0" fontId="62" fillId="0" borderId="62" xfId="0" applyFont="1" applyBorder="1" applyAlignment="1">
      <alignment horizontal="center" vertical="top" wrapText="1"/>
    </xf>
    <xf numFmtId="164" fontId="62" fillId="0" borderId="62" xfId="1" applyNumberFormat="1" applyFont="1" applyBorder="1" applyAlignment="1">
      <alignment horizontal="center" vertical="center" wrapText="1"/>
    </xf>
    <xf numFmtId="164" fontId="62" fillId="0" borderId="60" xfId="1" applyNumberFormat="1" applyFont="1" applyBorder="1" applyAlignment="1">
      <alignment vertical="top" wrapText="1"/>
    </xf>
    <xf numFmtId="49" fontId="14" fillId="0" borderId="60" xfId="0" applyNumberFormat="1" applyFont="1" applyBorder="1" applyAlignment="1">
      <alignment horizontal="left" vertical="center" wrapText="1"/>
    </xf>
    <xf numFmtId="0" fontId="62" fillId="0" borderId="65" xfId="0" applyFont="1" applyBorder="1" applyAlignment="1">
      <alignment vertical="top" wrapText="1"/>
    </xf>
    <xf numFmtId="0" fontId="62" fillId="0" borderId="66" xfId="0" applyFont="1" applyBorder="1" applyAlignment="1">
      <alignment vertical="top" wrapText="1"/>
    </xf>
    <xf numFmtId="0" fontId="62" fillId="0" borderId="62" xfId="0" applyFont="1" applyBorder="1" applyAlignment="1">
      <alignment horizontal="center" vertical="center" wrapText="1"/>
    </xf>
    <xf numFmtId="0" fontId="62" fillId="0" borderId="60" xfId="0" applyFont="1" applyBorder="1" applyAlignment="1">
      <alignment vertical="top" wrapText="1"/>
    </xf>
    <xf numFmtId="0" fontId="62" fillId="0" borderId="63" xfId="0" applyFont="1" applyBorder="1" applyAlignment="1">
      <alignment horizontal="center"/>
    </xf>
    <xf numFmtId="164" fontId="62" fillId="0" borderId="62" xfId="1" applyNumberFormat="1" applyFont="1" applyBorder="1" applyAlignment="1">
      <alignment vertical="top" wrapText="1"/>
    </xf>
    <xf numFmtId="164" fontId="62" fillId="0" borderId="60" xfId="1" applyNumberFormat="1" applyFont="1" applyBorder="1" applyAlignment="1">
      <alignment vertical="center" wrapText="1"/>
    </xf>
    <xf numFmtId="0" fontId="62" fillId="0" borderId="60" xfId="0" applyFont="1" applyBorder="1" applyAlignment="1">
      <alignment vertical="center"/>
    </xf>
    <xf numFmtId="0" fontId="66" fillId="0" borderId="63" xfId="0" applyFont="1" applyBorder="1" applyAlignment="1">
      <alignment vertical="top" wrapText="1"/>
    </xf>
    <xf numFmtId="0" fontId="66" fillId="0" borderId="62" xfId="0" applyFont="1" applyBorder="1" applyAlignment="1">
      <alignment vertical="top" wrapText="1"/>
    </xf>
    <xf numFmtId="0" fontId="92" fillId="0" borderId="0" xfId="0" applyFont="1" applyAlignment="1">
      <alignment horizontal="center" vertical="top" wrapText="1"/>
    </xf>
    <xf numFmtId="0" fontId="94" fillId="0" borderId="0" xfId="0" applyFont="1" applyAlignment="1">
      <alignment vertical="top" wrapText="1"/>
    </xf>
    <xf numFmtId="0" fontId="95" fillId="0" borderId="0" xfId="0" applyFont="1" applyAlignment="1">
      <alignment vertical="top" wrapText="1"/>
    </xf>
    <xf numFmtId="164" fontId="95" fillId="0" borderId="0" xfId="1" applyNumberFormat="1" applyFont="1" applyAlignment="1">
      <alignment vertical="top" wrapText="1"/>
    </xf>
    <xf numFmtId="0" fontId="96" fillId="0" borderId="0" xfId="0" applyFont="1" applyAlignment="1">
      <alignment horizontal="center"/>
    </xf>
    <xf numFmtId="49" fontId="0" fillId="0" borderId="0" xfId="0" applyNumberFormat="1"/>
    <xf numFmtId="0" fontId="96" fillId="0" borderId="0" xfId="0" applyFont="1"/>
    <xf numFmtId="0" fontId="14" fillId="0" borderId="0" xfId="0" applyFont="1" applyAlignment="1">
      <alignment horizontal="right"/>
    </xf>
    <xf numFmtId="0" fontId="97" fillId="0" borderId="0" xfId="0" applyFont="1" applyAlignment="1">
      <alignment horizontal="center"/>
    </xf>
    <xf numFmtId="0" fontId="14" fillId="0" borderId="0" xfId="0" applyFont="1" applyAlignment="1">
      <alignment horizontal="left" vertical="distributed"/>
    </xf>
    <xf numFmtId="0" fontId="12" fillId="0" borderId="60" xfId="0" applyFont="1" applyBorder="1" applyAlignment="1">
      <alignment horizontal="right" vertical="center"/>
    </xf>
    <xf numFmtId="0" fontId="12" fillId="0" borderId="60" xfId="0" applyFont="1" applyBorder="1" applyAlignment="1">
      <alignment vertical="center"/>
    </xf>
    <xf numFmtId="0" fontId="12" fillId="0" borderId="60" xfId="0" applyFont="1" applyBorder="1" applyAlignment="1">
      <alignment horizontal="center" vertical="center" wrapText="1"/>
    </xf>
    <xf numFmtId="3" fontId="12" fillId="0" borderId="60" xfId="0" applyNumberFormat="1" applyFont="1" applyBorder="1" applyAlignment="1">
      <alignment horizontal="right" vertical="center" wrapText="1"/>
    </xf>
    <xf numFmtId="0" fontId="62" fillId="0" borderId="60" xfId="0" applyFont="1" applyBorder="1" applyAlignment="1">
      <alignment horizontal="right" vertical="center"/>
    </xf>
    <xf numFmtId="3" fontId="0" fillId="0" borderId="68" xfId="0" applyNumberFormat="1" applyBorder="1"/>
    <xf numFmtId="0" fontId="0" fillId="0" borderId="68" xfId="0" applyBorder="1"/>
    <xf numFmtId="0" fontId="98" fillId="0" borderId="60" xfId="0" applyFont="1" applyBorder="1" applyAlignment="1">
      <alignment horizontal="center" wrapText="1"/>
    </xf>
    <xf numFmtId="0" fontId="98" fillId="0" borderId="0" xfId="0" applyFont="1" applyAlignment="1">
      <alignment wrapText="1"/>
    </xf>
    <xf numFmtId="0" fontId="98" fillId="0" borderId="0" xfId="0" applyFont="1"/>
    <xf numFmtId="0" fontId="99" fillId="0" borderId="0" xfId="0" applyFont="1"/>
    <xf numFmtId="0" fontId="98" fillId="0" borderId="71" xfId="0" applyFont="1" applyBorder="1" applyAlignment="1">
      <alignment horizontal="center"/>
    </xf>
    <xf numFmtId="3" fontId="99" fillId="0" borderId="0" xfId="0" applyNumberFormat="1" applyFont="1"/>
    <xf numFmtId="3" fontId="9" fillId="0" borderId="0" xfId="0" applyNumberFormat="1" applyFont="1"/>
    <xf numFmtId="0" fontId="98" fillId="0" borderId="0" xfId="0" applyFont="1" applyAlignment="1">
      <alignment horizontal="center"/>
    </xf>
    <xf numFmtId="0" fontId="24" fillId="0" borderId="0" xfId="0" applyFont="1" applyAlignment="1">
      <alignment horizontal="left"/>
    </xf>
    <xf numFmtId="0" fontId="24" fillId="0" borderId="0" xfId="0" applyFont="1"/>
    <xf numFmtId="3" fontId="14" fillId="0" borderId="0" xfId="0" applyNumberFormat="1" applyFont="1"/>
    <xf numFmtId="0" fontId="99" fillId="0" borderId="60" xfId="0" applyFont="1" applyBorder="1" applyAlignment="1">
      <alignment vertical="center"/>
    </xf>
    <xf numFmtId="0" fontId="100" fillId="0" borderId="73" xfId="0" applyFont="1" applyBorder="1"/>
    <xf numFmtId="0" fontId="100" fillId="0" borderId="74" xfId="0" applyFont="1" applyBorder="1"/>
    <xf numFmtId="0" fontId="100" fillId="0" borderId="0" xfId="0" applyFont="1"/>
    <xf numFmtId="0" fontId="24" fillId="0" borderId="0" xfId="0" applyFont="1" applyAlignment="1">
      <alignment horizontal="center" vertical="center"/>
    </xf>
    <xf numFmtId="0" fontId="25" fillId="0" borderId="0" xfId="0" applyFont="1" applyAlignment="1">
      <alignment horizontal="center" vertical="center"/>
    </xf>
    <xf numFmtId="0" fontId="14" fillId="0" borderId="0" xfId="0" applyFont="1" applyAlignment="1">
      <alignment horizontal="right" vertical="center"/>
    </xf>
    <xf numFmtId="0" fontId="14" fillId="0" borderId="0" xfId="5" applyFont="1" applyAlignment="1">
      <alignment horizontal="right" vertical="center"/>
    </xf>
    <xf numFmtId="0" fontId="18" fillId="0" borderId="0" xfId="5" applyFont="1" applyAlignment="1">
      <alignment vertical="center"/>
    </xf>
    <xf numFmtId="0" fontId="9" fillId="0" borderId="72" xfId="5" applyFont="1" applyBorder="1" applyAlignment="1">
      <alignment horizontal="center" vertical="center" wrapText="1"/>
    </xf>
    <xf numFmtId="0" fontId="9" fillId="0" borderId="72" xfId="5" applyFont="1" applyBorder="1" applyAlignment="1">
      <alignment vertical="center" wrapText="1"/>
    </xf>
    <xf numFmtId="0" fontId="17" fillId="0" borderId="0" xfId="5" applyFont="1" applyAlignment="1">
      <alignment wrapText="1"/>
    </xf>
    <xf numFmtId="0" fontId="6" fillId="0" borderId="0" xfId="5" applyFont="1" applyAlignment="1">
      <alignment wrapText="1"/>
    </xf>
    <xf numFmtId="0" fontId="35" fillId="0" borderId="0" xfId="0" applyFont="1"/>
    <xf numFmtId="0" fontId="35" fillId="0" borderId="0" xfId="0" applyFont="1" applyAlignment="1">
      <alignment horizontal="center"/>
    </xf>
    <xf numFmtId="0" fontId="24" fillId="0" borderId="75" xfId="0" applyFont="1" applyBorder="1" applyAlignment="1">
      <alignment horizontal="center" vertical="center"/>
    </xf>
    <xf numFmtId="0" fontId="24" fillId="0" borderId="75" xfId="0" applyFont="1" applyBorder="1" applyAlignment="1">
      <alignment horizontal="center" vertical="center" wrapText="1"/>
    </xf>
    <xf numFmtId="0" fontId="25" fillId="0" borderId="55" xfId="0" applyFont="1" applyBorder="1" applyAlignment="1">
      <alignment horizontal="center" vertical="center" wrapText="1"/>
    </xf>
    <xf numFmtId="3" fontId="25" fillId="0" borderId="0" xfId="4" applyNumberFormat="1" applyFont="1"/>
    <xf numFmtId="0" fontId="25" fillId="0" borderId="0" xfId="4" applyFont="1"/>
    <xf numFmtId="0" fontId="24" fillId="0" borderId="0" xfId="4" applyFont="1" applyAlignment="1">
      <alignment horizontal="right"/>
    </xf>
    <xf numFmtId="0" fontId="24" fillId="0" borderId="75" xfId="4" applyFont="1" applyBorder="1" applyAlignment="1">
      <alignment horizontal="center" vertical="center" wrapText="1"/>
    </xf>
    <xf numFmtId="3" fontId="24" fillId="0" borderId="75" xfId="4" applyNumberFormat="1" applyFont="1" applyBorder="1" applyAlignment="1">
      <alignment horizontal="center" vertical="center" wrapText="1"/>
    </xf>
    <xf numFmtId="0" fontId="24" fillId="0" borderId="0" xfId="4" applyFont="1"/>
    <xf numFmtId="0" fontId="19" fillId="0" borderId="0" xfId="4"/>
    <xf numFmtId="0" fontId="19" fillId="0" borderId="0" xfId="4" applyAlignment="1">
      <alignment horizontal="center"/>
    </xf>
    <xf numFmtId="3" fontId="19" fillId="0" borderId="0" xfId="4" applyNumberFormat="1"/>
    <xf numFmtId="0" fontId="39" fillId="0" borderId="0" xfId="0" applyFont="1" applyAlignment="1">
      <alignment vertical="center"/>
    </xf>
    <xf numFmtId="0" fontId="9" fillId="0" borderId="79" xfId="0" applyFont="1" applyBorder="1" applyAlignment="1">
      <alignment horizontal="center" vertical="center"/>
    </xf>
    <xf numFmtId="0" fontId="9" fillId="0" borderId="79" xfId="0" applyFont="1" applyBorder="1" applyAlignment="1">
      <alignment vertical="center"/>
    </xf>
    <xf numFmtId="0" fontId="5" fillId="0" borderId="75" xfId="5" applyFont="1" applyBorder="1" applyAlignment="1">
      <alignment vertical="center"/>
    </xf>
    <xf numFmtId="164" fontId="60" fillId="0" borderId="75" xfId="3" applyNumberFormat="1" applyFont="1" applyBorder="1" applyAlignment="1">
      <alignment horizontal="center" vertical="center" wrapText="1"/>
    </xf>
    <xf numFmtId="0" fontId="5" fillId="0" borderId="75" xfId="0" applyFont="1" applyBorder="1" applyAlignment="1">
      <alignment horizontal="center" vertical="center" wrapText="1"/>
    </xf>
    <xf numFmtId="3" fontId="1" fillId="0" borderId="75" xfId="5" applyNumberFormat="1" applyFont="1" applyBorder="1" applyAlignment="1">
      <alignment horizontal="center"/>
    </xf>
    <xf numFmtId="3" fontId="5" fillId="0" borderId="75" xfId="0" applyNumberFormat="1" applyFont="1" applyBorder="1" applyAlignment="1">
      <alignment horizontal="center" vertical="center" wrapText="1"/>
    </xf>
    <xf numFmtId="164" fontId="5" fillId="0" borderId="75" xfId="3" applyNumberFormat="1" applyFont="1" applyBorder="1" applyAlignment="1">
      <alignment horizontal="center" vertical="center" wrapText="1"/>
    </xf>
    <xf numFmtId="0" fontId="105"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4" fillId="0" borderId="75" xfId="0" applyFont="1" applyBorder="1" applyAlignment="1">
      <alignment vertical="center"/>
    </xf>
    <xf numFmtId="0" fontId="106" fillId="0" borderId="0" xfId="0" applyFont="1" applyAlignment="1">
      <alignment vertical="center"/>
    </xf>
    <xf numFmtId="0" fontId="9" fillId="0" borderId="75" xfId="0" applyFont="1" applyBorder="1" applyAlignment="1">
      <alignment horizontal="center" vertical="center" wrapText="1"/>
    </xf>
    <xf numFmtId="168" fontId="105" fillId="0" borderId="0" xfId="0" applyNumberFormat="1" applyFont="1" applyAlignment="1">
      <alignment vertical="center"/>
    </xf>
    <xf numFmtId="0" fontId="9" fillId="0" borderId="75" xfId="0" applyFont="1" applyBorder="1" applyAlignment="1">
      <alignment vertical="center"/>
    </xf>
    <xf numFmtId="168" fontId="9" fillId="0" borderId="0" xfId="0" applyNumberFormat="1" applyFont="1" applyAlignment="1">
      <alignment vertical="center"/>
    </xf>
    <xf numFmtId="168" fontId="14" fillId="0" borderId="0" xfId="0" applyNumberFormat="1" applyFont="1" applyAlignment="1">
      <alignment horizontal="right" vertical="center"/>
    </xf>
    <xf numFmtId="3" fontId="9" fillId="0" borderId="0" xfId="0" applyNumberFormat="1" applyFont="1" applyAlignment="1">
      <alignment horizontal="center" vertical="center"/>
    </xf>
    <xf numFmtId="0" fontId="105" fillId="0" borderId="0" xfId="0" applyFont="1" applyAlignment="1">
      <alignment horizontal="center" vertical="center"/>
    </xf>
    <xf numFmtId="0" fontId="69" fillId="0" borderId="0" xfId="0" applyFont="1" applyAlignment="1">
      <alignment horizontal="center" vertical="center"/>
    </xf>
    <xf numFmtId="0" fontId="5"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75" xfId="0" applyFont="1" applyBorder="1" applyAlignment="1">
      <alignment horizontal="center" vertical="top" wrapText="1"/>
    </xf>
    <xf numFmtId="0" fontId="24" fillId="0" borderId="0" xfId="0" applyFont="1" applyAlignment="1">
      <alignment horizontal="center"/>
    </xf>
    <xf numFmtId="0" fontId="17" fillId="0" borderId="0" xfId="5" applyFont="1" applyAlignment="1">
      <alignment horizontal="center" wrapText="1"/>
    </xf>
    <xf numFmtId="0" fontId="24" fillId="0" borderId="0" xfId="0" applyFont="1" applyAlignment="1">
      <alignment horizontal="left" vertical="center" wrapText="1"/>
    </xf>
    <xf numFmtId="0" fontId="30" fillId="0" borderId="0" xfId="0" applyFont="1" applyBorder="1" applyAlignment="1">
      <alignment horizontal="right" vertical="center" wrapText="1"/>
    </xf>
    <xf numFmtId="0" fontId="26" fillId="0" borderId="0" xfId="0" applyFont="1" applyAlignment="1">
      <alignment horizontal="center"/>
    </xf>
    <xf numFmtId="0" fontId="2" fillId="0" borderId="75" xfId="0" applyFont="1" applyBorder="1" applyAlignment="1">
      <alignment vertical="center"/>
    </xf>
    <xf numFmtId="0" fontId="22" fillId="0" borderId="0" xfId="0" applyFont="1" applyFill="1" applyAlignment="1">
      <alignment horizontal="center"/>
    </xf>
    <xf numFmtId="0" fontId="22" fillId="0" borderId="80" xfId="0" applyFont="1" applyBorder="1" applyAlignment="1">
      <alignment horizontal="center" vertical="center" wrapText="1"/>
    </xf>
    <xf numFmtId="0" fontId="7" fillId="0" borderId="55" xfId="0" applyFont="1" applyBorder="1" applyAlignment="1">
      <alignment horizontal="justify" vertical="top" wrapText="1"/>
    </xf>
    <xf numFmtId="0" fontId="7" fillId="0" borderId="55" xfId="0" applyFont="1" applyBorder="1" applyAlignment="1">
      <alignment horizontal="center" vertical="top" wrapText="1"/>
    </xf>
    <xf numFmtId="0" fontId="5" fillId="0" borderId="82" xfId="0" applyFont="1" applyBorder="1" applyAlignment="1">
      <alignment horizontal="center" vertical="top"/>
    </xf>
    <xf numFmtId="0" fontId="7" fillId="0" borderId="55" xfId="0" applyFont="1" applyBorder="1" applyAlignment="1">
      <alignment vertical="top"/>
    </xf>
    <xf numFmtId="0" fontId="7" fillId="0" borderId="55" xfId="0" applyFont="1" applyBorder="1" applyAlignment="1">
      <alignment horizontal="left" vertical="top"/>
    </xf>
    <xf numFmtId="0" fontId="5" fillId="0" borderId="55" xfId="0" applyFont="1" applyBorder="1" applyAlignment="1">
      <alignment horizontal="left" vertical="top"/>
    </xf>
    <xf numFmtId="0" fontId="5" fillId="0" borderId="55" xfId="0" applyFont="1" applyBorder="1" applyAlignment="1">
      <alignment horizontal="center" vertical="top"/>
    </xf>
    <xf numFmtId="0" fontId="5" fillId="3" borderId="55" xfId="0" applyFont="1" applyFill="1" applyBorder="1" applyAlignment="1">
      <alignment horizontal="left" vertical="top"/>
    </xf>
    <xf numFmtId="0" fontId="5" fillId="0" borderId="55" xfId="0" applyFont="1" applyBorder="1" applyAlignment="1">
      <alignment vertical="top"/>
    </xf>
    <xf numFmtId="0" fontId="21" fillId="0" borderId="83" xfId="0" applyFont="1" applyBorder="1" applyAlignment="1">
      <alignment horizontal="center" vertical="center" wrapText="1"/>
    </xf>
    <xf numFmtId="0" fontId="21" fillId="0" borderId="84" xfId="0" applyFont="1" applyBorder="1" applyAlignment="1">
      <alignment horizontal="justify" vertical="center" wrapText="1"/>
    </xf>
    <xf numFmtId="0" fontId="21" fillId="0" borderId="84" xfId="0" applyFont="1" applyBorder="1" applyAlignment="1">
      <alignment horizontal="center" vertical="center" wrapText="1"/>
    </xf>
    <xf numFmtId="0" fontId="21" fillId="0" borderId="84" xfId="0" applyFont="1" applyBorder="1" applyAlignment="1">
      <alignment vertical="center"/>
    </xf>
    <xf numFmtId="0" fontId="21" fillId="0" borderId="85" xfId="0" applyFont="1" applyBorder="1" applyAlignment="1">
      <alignment vertical="center"/>
    </xf>
    <xf numFmtId="0" fontId="22" fillId="0" borderId="86" xfId="0" applyFont="1" applyBorder="1" applyAlignment="1">
      <alignment horizontal="center" vertical="center" wrapText="1"/>
    </xf>
    <xf numFmtId="0" fontId="7" fillId="0" borderId="58" xfId="0" applyFont="1" applyBorder="1" applyAlignment="1">
      <alignment horizontal="justify" vertical="top" wrapText="1"/>
    </xf>
    <xf numFmtId="0" fontId="7" fillId="0" borderId="58" xfId="0" applyFont="1" applyBorder="1" applyAlignment="1">
      <alignment horizontal="center" vertical="top" wrapText="1"/>
    </xf>
    <xf numFmtId="0" fontId="5" fillId="0" borderId="87" xfId="0" applyFont="1" applyBorder="1" applyAlignment="1">
      <alignment horizontal="center" vertical="top"/>
    </xf>
    <xf numFmtId="0" fontId="7" fillId="0" borderId="58" xfId="0" applyFont="1" applyBorder="1" applyAlignment="1">
      <alignment vertical="top"/>
    </xf>
    <xf numFmtId="0" fontId="7" fillId="0" borderId="58" xfId="0" applyFont="1" applyBorder="1" applyAlignment="1">
      <alignment horizontal="left" vertical="top"/>
    </xf>
    <xf numFmtId="0" fontId="8" fillId="0" borderId="55" xfId="0" applyFont="1" applyBorder="1" applyAlignment="1">
      <alignment horizontal="center" vertical="top" wrapText="1"/>
    </xf>
    <xf numFmtId="0" fontId="5" fillId="0" borderId="88" xfId="0" applyFont="1" applyBorder="1" applyAlignment="1">
      <alignment horizontal="center" vertical="top"/>
    </xf>
    <xf numFmtId="0" fontId="22" fillId="0" borderId="26" xfId="0" applyFont="1" applyBorder="1" applyAlignment="1">
      <alignment horizontal="center" vertical="center" wrapText="1"/>
    </xf>
    <xf numFmtId="0" fontId="5" fillId="0" borderId="89" xfId="0" applyFont="1" applyBorder="1" applyAlignment="1">
      <alignment horizontal="center" vertical="top"/>
    </xf>
    <xf numFmtId="0" fontId="21" fillId="0" borderId="91" xfId="0" applyFont="1" applyBorder="1" applyAlignment="1">
      <alignment horizontal="justify" vertical="center" wrapText="1"/>
    </xf>
    <xf numFmtId="0" fontId="21" fillId="0" borderId="91" xfId="0" applyFont="1" applyBorder="1" applyAlignment="1">
      <alignment horizontal="center" vertical="center" wrapText="1"/>
    </xf>
    <xf numFmtId="0" fontId="21" fillId="0" borderId="91" xfId="0" applyFont="1" applyBorder="1" applyAlignment="1">
      <alignment vertical="center"/>
    </xf>
    <xf numFmtId="0" fontId="7" fillId="0" borderId="92" xfId="0" applyFont="1" applyBorder="1" applyAlignment="1">
      <alignment vertical="top"/>
    </xf>
    <xf numFmtId="0" fontId="21" fillId="0" borderId="93" xfId="0" applyFont="1" applyBorder="1" applyAlignment="1">
      <alignment vertical="center"/>
    </xf>
    <xf numFmtId="0" fontId="23" fillId="0" borderId="41" xfId="0" applyFont="1" applyBorder="1" applyAlignment="1"/>
    <xf numFmtId="0" fontId="5" fillId="0" borderId="27" xfId="0" applyFont="1" applyBorder="1" applyAlignment="1">
      <alignment horizontal="justify" vertical="center" wrapText="1"/>
    </xf>
    <xf numFmtId="0" fontId="5" fillId="0" borderId="27" xfId="0" applyFont="1" applyBorder="1" applyAlignment="1">
      <alignment vertical="center"/>
    </xf>
    <xf numFmtId="0" fontId="5" fillId="0" borderId="94" xfId="0" applyFont="1" applyBorder="1" applyAlignment="1">
      <alignment horizontal="center" vertical="center" wrapText="1"/>
    </xf>
    <xf numFmtId="0" fontId="5" fillId="0" borderId="91" xfId="0" applyFont="1" applyBorder="1" applyAlignment="1">
      <alignment horizontal="justify" vertical="center" wrapText="1"/>
    </xf>
    <xf numFmtId="0" fontId="5" fillId="0" borderId="90" xfId="0" applyFont="1" applyBorder="1" applyAlignment="1">
      <alignment horizontal="center" vertical="top"/>
    </xf>
    <xf numFmtId="0" fontId="5" fillId="0" borderId="55" xfId="0" applyFont="1" applyBorder="1" applyAlignment="1">
      <alignment horizontal="justify" vertical="top" wrapText="1"/>
    </xf>
    <xf numFmtId="0" fontId="5" fillId="0" borderId="55" xfId="0" applyFont="1" applyBorder="1" applyAlignment="1">
      <alignment horizontal="center" vertical="top" wrapText="1"/>
    </xf>
    <xf numFmtId="0" fontId="21" fillId="0" borderId="81" xfId="0" applyFont="1" applyBorder="1" applyAlignment="1">
      <alignment horizontal="justify" vertical="center" wrapText="1"/>
    </xf>
    <xf numFmtId="0" fontId="21" fillId="0" borderId="81" xfId="0" applyFont="1" applyBorder="1" applyAlignment="1">
      <alignment horizontal="center" vertical="center" wrapText="1"/>
    </xf>
    <xf numFmtId="0" fontId="9" fillId="0" borderId="0" xfId="5" applyFont="1" applyAlignment="1">
      <alignment horizontal="center" vertical="center" wrapText="1"/>
    </xf>
    <xf numFmtId="0" fontId="9" fillId="0" borderId="0" xfId="5" applyFont="1" applyAlignment="1">
      <alignment vertical="center" wrapText="1"/>
    </xf>
    <xf numFmtId="0" fontId="9" fillId="0" borderId="0" xfId="5" applyFont="1" applyAlignment="1">
      <alignment horizontal="left" vertical="center" wrapText="1"/>
    </xf>
    <xf numFmtId="0" fontId="1" fillId="0" borderId="0" xfId="5" applyFont="1"/>
    <xf numFmtId="0" fontId="1" fillId="0" borderId="0" xfId="5" applyFont="1" applyAlignment="1">
      <alignment wrapText="1"/>
    </xf>
    <xf numFmtId="0" fontId="25" fillId="0" borderId="95" xfId="0" applyFont="1" applyBorder="1" applyAlignment="1">
      <alignment horizontal="center" vertical="center" wrapText="1"/>
    </xf>
    <xf numFmtId="0" fontId="25" fillId="0" borderId="95" xfId="0" applyFont="1" applyBorder="1" applyAlignment="1">
      <alignment vertical="center"/>
    </xf>
    <xf numFmtId="0" fontId="24" fillId="0" borderId="95" xfId="0" applyFont="1" applyBorder="1" applyAlignment="1">
      <alignment vertical="center"/>
    </xf>
    <xf numFmtId="0" fontId="25" fillId="0" borderId="95" xfId="0" applyFont="1" applyBorder="1" applyAlignment="1">
      <alignment horizontal="center" vertical="center"/>
    </xf>
    <xf numFmtId="0" fontId="24" fillId="0" borderId="96" xfId="0" applyFont="1" applyBorder="1" applyAlignment="1">
      <alignment vertical="center"/>
    </xf>
    <xf numFmtId="0" fontId="25" fillId="0" borderId="96" xfId="0" applyFont="1" applyBorder="1" applyAlignment="1">
      <alignment vertical="center"/>
    </xf>
    <xf numFmtId="0" fontId="48" fillId="0" borderId="22" xfId="0" applyFont="1" applyBorder="1" applyAlignment="1">
      <alignment horizontal="center" vertical="top" wrapText="1"/>
    </xf>
    <xf numFmtId="0" fontId="48" fillId="0" borderId="55" xfId="0" applyFont="1" applyBorder="1" applyAlignment="1">
      <alignment horizontal="justify" vertical="top" wrapText="1"/>
    </xf>
    <xf numFmtId="0" fontId="47" fillId="0" borderId="23" xfId="0" applyFont="1" applyBorder="1" applyAlignment="1">
      <alignment vertical="top"/>
    </xf>
    <xf numFmtId="0" fontId="12" fillId="0" borderId="55" xfId="0" applyFont="1" applyBorder="1" applyAlignment="1">
      <alignment horizontal="justify" vertical="top" wrapText="1"/>
    </xf>
    <xf numFmtId="0" fontId="12" fillId="0" borderId="22" xfId="0" applyFont="1" applyBorder="1" applyAlignment="1">
      <alignment horizontal="center" vertical="top" wrapText="1"/>
    </xf>
    <xf numFmtId="9" fontId="13" fillId="0" borderId="23" xfId="0" applyNumberFormat="1" applyFont="1" applyBorder="1" applyAlignment="1">
      <alignment vertical="top"/>
    </xf>
    <xf numFmtId="0" fontId="47" fillId="0" borderId="22" xfId="0" applyFont="1" applyBorder="1" applyAlignment="1">
      <alignment horizontal="center" vertical="top" wrapText="1"/>
    </xf>
    <xf numFmtId="0" fontId="47" fillId="0" borderId="55" xfId="0" applyFont="1" applyBorder="1" applyAlignment="1">
      <alignment horizontal="justify" vertical="top" wrapText="1"/>
    </xf>
    <xf numFmtId="0" fontId="48" fillId="0" borderId="23" xfId="0" applyFont="1" applyBorder="1" applyAlignment="1">
      <alignment vertical="top"/>
    </xf>
    <xf numFmtId="0" fontId="13" fillId="0" borderId="22" xfId="0" applyFont="1" applyBorder="1" applyAlignment="1">
      <alignment horizontal="center" vertical="top" wrapText="1"/>
    </xf>
    <xf numFmtId="0" fontId="13" fillId="0" borderId="55" xfId="0" applyFont="1" applyBorder="1" applyAlignment="1">
      <alignment horizontal="justify" vertical="top" wrapText="1"/>
    </xf>
    <xf numFmtId="0" fontId="12" fillId="0" borderId="23" xfId="0" applyFont="1" applyBorder="1" applyAlignment="1">
      <alignment vertical="top"/>
    </xf>
    <xf numFmtId="0" fontId="12" fillId="0" borderId="22" xfId="5" applyFont="1" applyBorder="1" applyAlignment="1">
      <alignment horizontal="center" vertical="top" wrapText="1"/>
    </xf>
    <xf numFmtId="0" fontId="12" fillId="0" borderId="55" xfId="5" applyFont="1" applyBorder="1" applyAlignment="1">
      <alignment horizontal="justify" vertical="top" wrapText="1"/>
    </xf>
    <xf numFmtId="0" fontId="12" fillId="0" borderId="23" xfId="5" applyFont="1" applyBorder="1" applyAlignment="1">
      <alignment vertical="top"/>
    </xf>
    <xf numFmtId="0" fontId="12" fillId="0" borderId="55" xfId="0" applyFont="1" applyBorder="1" applyAlignment="1">
      <alignment horizontal="justify" vertical="center"/>
    </xf>
    <xf numFmtId="0" fontId="12" fillId="0" borderId="23" xfId="0" applyFont="1" applyBorder="1" applyAlignment="1">
      <alignment vertical="top" wrapText="1"/>
    </xf>
    <xf numFmtId="0" fontId="108" fillId="0" borderId="55" xfId="0" applyFont="1" applyBorder="1" applyAlignment="1">
      <alignment wrapText="1"/>
    </xf>
    <xf numFmtId="0" fontId="108" fillId="0" borderId="55" xfId="0" applyFont="1" applyBorder="1"/>
    <xf numFmtId="0" fontId="9" fillId="0" borderId="0" xfId="0" applyFont="1" applyAlignment="1">
      <alignment horizontal="center"/>
    </xf>
    <xf numFmtId="0" fontId="12" fillId="0" borderId="0" xfId="0" applyFont="1" applyAlignment="1">
      <alignment horizontal="center"/>
    </xf>
    <xf numFmtId="0" fontId="12" fillId="0" borderId="0" xfId="0" applyFont="1" applyAlignment="1">
      <alignment horizontal="left" vertical="center"/>
    </xf>
    <xf numFmtId="0" fontId="14"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vertical="center"/>
    </xf>
    <xf numFmtId="0" fontId="17" fillId="0" borderId="0" xfId="0" applyFont="1" applyAlignment="1">
      <alignment horizontal="center" vertical="center"/>
    </xf>
    <xf numFmtId="0" fontId="9" fillId="0" borderId="0" xfId="5" applyFont="1" applyBorder="1" applyAlignment="1">
      <alignment horizontal="center" vertical="center"/>
    </xf>
    <xf numFmtId="0" fontId="14" fillId="0" borderId="0" xfId="5" applyFont="1" applyBorder="1" applyAlignment="1">
      <alignment horizontal="center" vertical="center" wrapText="1"/>
    </xf>
    <xf numFmtId="0" fontId="9" fillId="0" borderId="75" xfId="5" applyFont="1" applyBorder="1" applyAlignment="1">
      <alignment vertical="center" wrapText="1"/>
    </xf>
    <xf numFmtId="0" fontId="9" fillId="0" borderId="75" xfId="5" applyFont="1" applyBorder="1" applyAlignment="1">
      <alignment horizontal="center" vertical="center" wrapText="1"/>
    </xf>
    <xf numFmtId="0" fontId="9" fillId="0" borderId="75" xfId="5" applyFont="1" applyBorder="1" applyAlignment="1">
      <alignment horizontal="left" vertical="center" wrapText="1"/>
    </xf>
    <xf numFmtId="164" fontId="22" fillId="0" borderId="75" xfId="1" applyNumberFormat="1" applyFont="1" applyBorder="1" applyAlignment="1">
      <alignment horizontal="center" vertical="center" wrapText="1"/>
    </xf>
    <xf numFmtId="164" fontId="22" fillId="0" borderId="75" xfId="1" applyNumberFormat="1" applyFont="1" applyBorder="1" applyAlignment="1">
      <alignment horizontal="left" vertical="center" wrapText="1"/>
    </xf>
    <xf numFmtId="164" fontId="22" fillId="0" borderId="75" xfId="1" quotePrefix="1" applyNumberFormat="1" applyFont="1" applyBorder="1" applyAlignment="1">
      <alignment horizontal="center" vertical="center" wrapText="1"/>
    </xf>
    <xf numFmtId="0" fontId="22" fillId="0" borderId="75" xfId="0" applyFont="1" applyFill="1" applyBorder="1" applyAlignment="1">
      <alignment horizontal="center" vertical="center" wrapText="1"/>
    </xf>
    <xf numFmtId="0" fontId="21" fillId="0" borderId="75" xfId="0" applyFont="1" applyBorder="1" applyAlignment="1">
      <alignment horizontal="left" vertical="center" wrapText="1"/>
    </xf>
    <xf numFmtId="0" fontId="21" fillId="0" borderId="75" xfId="0" applyFont="1" applyBorder="1" applyAlignment="1">
      <alignment horizontal="center" vertical="center" wrapText="1"/>
    </xf>
    <xf numFmtId="0" fontId="5" fillId="0" borderId="75" xfId="0" applyFont="1" applyFill="1" applyBorder="1" applyAlignment="1">
      <alignment horizontal="center" vertical="center" wrapText="1"/>
    </xf>
    <xf numFmtId="0" fontId="21" fillId="0" borderId="75" xfId="0" applyFont="1" applyFill="1" applyBorder="1" applyAlignment="1">
      <alignment horizontal="center" vertical="center" wrapText="1"/>
    </xf>
    <xf numFmtId="0" fontId="5" fillId="0" borderId="75" xfId="0" applyFont="1" applyBorder="1" applyAlignment="1">
      <alignment horizontal="center" vertical="top"/>
    </xf>
    <xf numFmtId="0" fontId="22" fillId="0" borderId="75" xfId="0" applyFont="1" applyBorder="1" applyAlignment="1">
      <alignment horizontal="justify" vertical="center" wrapText="1"/>
    </xf>
    <xf numFmtId="0" fontId="22" fillId="0" borderId="75" xfId="0" applyFont="1" applyBorder="1" applyAlignment="1">
      <alignment horizontal="center" vertical="center" wrapText="1"/>
    </xf>
    <xf numFmtId="0" fontId="25" fillId="0" borderId="75" xfId="0" applyFont="1" applyBorder="1" applyAlignment="1">
      <alignment horizontal="center" vertical="center" shrinkToFit="1"/>
    </xf>
    <xf numFmtId="0" fontId="5" fillId="0" borderId="75" xfId="0" applyFont="1" applyBorder="1" applyAlignment="1">
      <alignment horizontal="center" vertical="center"/>
    </xf>
    <xf numFmtId="0" fontId="21" fillId="0" borderId="75" xfId="0" applyFont="1" applyBorder="1" applyAlignment="1">
      <alignment horizontal="center" vertical="center"/>
    </xf>
    <xf numFmtId="0" fontId="53" fillId="0" borderId="0" xfId="0" applyFont="1" applyBorder="1" applyAlignment="1">
      <alignment vertical="top"/>
    </xf>
    <xf numFmtId="164" fontId="24" fillId="0" borderId="95" xfId="1" applyNumberFormat="1" applyFont="1" applyBorder="1" applyAlignment="1">
      <alignment horizontal="center" vertical="center" wrapText="1"/>
    </xf>
    <xf numFmtId="49" fontId="24" fillId="0" borderId="95" xfId="1" quotePrefix="1" applyNumberFormat="1" applyFont="1" applyFill="1" applyBorder="1" applyAlignment="1">
      <alignment horizontal="center" vertical="center" wrapText="1"/>
    </xf>
    <xf numFmtId="49" fontId="24" fillId="0" borderId="95" xfId="1" applyNumberFormat="1" applyFont="1" applyFill="1" applyBorder="1" applyAlignment="1">
      <alignment horizontal="center" vertical="center" wrapText="1"/>
    </xf>
    <xf numFmtId="164" fontId="10" fillId="0" borderId="95" xfId="3" applyNumberFormat="1" applyFont="1" applyBorder="1" applyAlignment="1">
      <alignment horizontal="left" vertical="center" wrapText="1"/>
    </xf>
    <xf numFmtId="0" fontId="24" fillId="0" borderId="95" xfId="0" applyFont="1" applyBorder="1" applyAlignment="1">
      <alignment horizontal="center" vertical="center" wrapText="1"/>
    </xf>
    <xf numFmtId="0" fontId="14" fillId="0" borderId="95" xfId="0" applyFont="1" applyBorder="1" applyAlignment="1">
      <alignment horizontal="center" vertical="center" wrapText="1"/>
    </xf>
    <xf numFmtId="0" fontId="9" fillId="0" borderId="95" xfId="0" applyFont="1" applyBorder="1" applyAlignment="1">
      <alignment vertical="center"/>
    </xf>
    <xf numFmtId="0" fontId="9" fillId="0" borderId="95" xfId="0" applyFont="1" applyBorder="1" applyAlignment="1">
      <alignment horizontal="center" vertical="center"/>
    </xf>
    <xf numFmtId="0" fontId="24" fillId="0" borderId="96" xfId="0" applyFont="1" applyBorder="1" applyAlignment="1">
      <alignment horizontal="center" vertical="center"/>
    </xf>
    <xf numFmtId="0" fontId="5" fillId="0" borderId="91" xfId="0" applyFont="1" applyBorder="1" applyAlignment="1">
      <alignment horizontal="center" vertical="center" wrapText="1"/>
    </xf>
    <xf numFmtId="0" fontId="65" fillId="0" borderId="0" xfId="0" applyFont="1" applyAlignment="1">
      <alignment horizontal="center" vertical="center"/>
    </xf>
    <xf numFmtId="0" fontId="65" fillId="0" borderId="0" xfId="0" applyFont="1" applyAlignment="1">
      <alignment horizontal="left" vertical="center"/>
    </xf>
    <xf numFmtId="0" fontId="6" fillId="0" borderId="97" xfId="0" applyFont="1" applyBorder="1" applyAlignment="1">
      <alignment horizontal="center" vertical="center" wrapText="1"/>
    </xf>
    <xf numFmtId="0" fontId="2" fillId="0" borderId="97" xfId="0" applyFont="1" applyBorder="1" applyAlignment="1">
      <alignment horizontal="center" vertical="center"/>
    </xf>
    <xf numFmtId="3" fontId="6" fillId="0" borderId="97" xfId="0" applyNumberFormat="1" applyFont="1" applyBorder="1" applyAlignment="1">
      <alignment horizontal="center" vertical="center" wrapText="1"/>
    </xf>
    <xf numFmtId="0" fontId="6" fillId="0" borderId="97" xfId="0" applyFont="1" applyBorder="1" applyAlignment="1">
      <alignment horizontal="center" vertical="top" wrapText="1"/>
    </xf>
    <xf numFmtId="0" fontId="2" fillId="0" borderId="97" xfId="0" applyFont="1" applyBorder="1" applyAlignment="1">
      <alignment horizontal="left" vertical="center"/>
    </xf>
    <xf numFmtId="49" fontId="6" fillId="0" borderId="97" xfId="0" applyNumberFormat="1" applyFont="1" applyBorder="1" applyAlignment="1">
      <alignment horizontal="center" vertical="center" wrapText="1"/>
    </xf>
    <xf numFmtId="0" fontId="109" fillId="0" borderId="0" xfId="0" applyFont="1" applyAlignment="1">
      <alignment horizontal="center"/>
    </xf>
    <xf numFmtId="0" fontId="14" fillId="0" borderId="97" xfId="0" applyFont="1" applyBorder="1" applyAlignment="1">
      <alignment horizontal="center" vertical="center"/>
    </xf>
    <xf numFmtId="0" fontId="6" fillId="0" borderId="97" xfId="0" applyFont="1" applyBorder="1" applyAlignment="1">
      <alignment horizontal="left" vertical="center"/>
    </xf>
    <xf numFmtId="0" fontId="5" fillId="0" borderId="97" xfId="0" applyFont="1" applyBorder="1" applyAlignment="1">
      <alignment horizontal="center" vertical="top" wrapText="1"/>
    </xf>
    <xf numFmtId="49" fontId="5" fillId="0" borderId="97" xfId="0" applyNumberFormat="1" applyFont="1" applyBorder="1" applyAlignment="1">
      <alignment horizontal="center" vertical="center" wrapText="1"/>
    </xf>
    <xf numFmtId="3" fontId="5" fillId="0" borderId="97" xfId="0" applyNumberFormat="1" applyFont="1" applyBorder="1" applyAlignment="1">
      <alignment horizontal="center" vertical="center" wrapText="1"/>
    </xf>
    <xf numFmtId="0" fontId="11" fillId="0" borderId="97" xfId="0" applyFont="1" applyBorder="1" applyAlignment="1">
      <alignment horizontal="center" vertical="top" wrapText="1"/>
    </xf>
    <xf numFmtId="0" fontId="6" fillId="0" borderId="97" xfId="0" applyFont="1" applyBorder="1" applyAlignment="1">
      <alignment horizontal="left" vertical="center" wrapText="1"/>
    </xf>
    <xf numFmtId="0" fontId="5" fillId="0" borderId="97" xfId="0" applyFont="1" applyBorder="1" applyAlignment="1">
      <alignment horizontal="left" vertical="center" wrapText="1"/>
    </xf>
    <xf numFmtId="0" fontId="5" fillId="0" borderId="97" xfId="0" applyFont="1" applyBorder="1" applyAlignment="1">
      <alignment horizontal="center" vertical="center" wrapText="1"/>
    </xf>
    <xf numFmtId="3" fontId="5" fillId="0" borderId="97" xfId="0" applyNumberFormat="1" applyFont="1" applyBorder="1" applyAlignment="1">
      <alignment vertical="center" wrapText="1"/>
    </xf>
    <xf numFmtId="0" fontId="5" fillId="0" borderId="97" xfId="0" applyFont="1" applyBorder="1" applyAlignment="1">
      <alignment horizontal="center" vertical="center"/>
    </xf>
    <xf numFmtId="0" fontId="5" fillId="0" borderId="97" xfId="0" applyFont="1" applyBorder="1" applyAlignment="1">
      <alignment horizontal="left" vertical="center"/>
    </xf>
    <xf numFmtId="0" fontId="5" fillId="0" borderId="69" xfId="0" applyFont="1" applyBorder="1" applyAlignment="1">
      <alignment horizontal="center" vertical="center"/>
    </xf>
    <xf numFmtId="0" fontId="6" fillId="4" borderId="97" xfId="0" applyFont="1" applyFill="1" applyBorder="1" applyAlignment="1">
      <alignment horizontal="center" vertical="center" wrapText="1"/>
    </xf>
    <xf numFmtId="0" fontId="6" fillId="4" borderId="97" xfId="0" applyFont="1" applyFill="1" applyBorder="1" applyAlignment="1">
      <alignment horizontal="left" vertical="center" wrapText="1"/>
    </xf>
    <xf numFmtId="0" fontId="5" fillId="4" borderId="97" xfId="0" applyFont="1" applyFill="1" applyBorder="1" applyAlignment="1">
      <alignment horizontal="center" vertical="center" wrapText="1"/>
    </xf>
    <xf numFmtId="3" fontId="5" fillId="4" borderId="97" xfId="0" applyNumberFormat="1" applyFont="1" applyFill="1" applyBorder="1" applyAlignment="1">
      <alignment horizontal="center" vertical="center" wrapText="1"/>
    </xf>
    <xf numFmtId="0" fontId="5" fillId="4" borderId="97" xfId="0" applyFont="1" applyFill="1" applyBorder="1" applyAlignment="1">
      <alignment horizontal="left" vertical="center" wrapText="1"/>
    </xf>
    <xf numFmtId="3" fontId="5" fillId="4" borderId="97" xfId="0" applyNumberFormat="1" applyFont="1" applyFill="1" applyBorder="1" applyAlignment="1">
      <alignment vertical="center" wrapText="1"/>
    </xf>
    <xf numFmtId="0" fontId="14" fillId="4" borderId="97" xfId="0" applyFont="1" applyFill="1" applyBorder="1" applyAlignment="1">
      <alignment horizontal="center" vertical="center" wrapText="1"/>
    </xf>
    <xf numFmtId="3" fontId="6" fillId="4" borderId="97" xfId="0" applyNumberFormat="1" applyFont="1" applyFill="1" applyBorder="1" applyAlignment="1">
      <alignment horizontal="center" vertical="center"/>
    </xf>
    <xf numFmtId="3" fontId="5" fillId="0" borderId="9" xfId="0" applyNumberFormat="1" applyFont="1" applyBorder="1" applyAlignment="1">
      <alignment vertical="center" wrapText="1"/>
    </xf>
    <xf numFmtId="0" fontId="65" fillId="4" borderId="0" xfId="0" applyFont="1" applyFill="1"/>
    <xf numFmtId="0" fontId="42" fillId="0" borderId="97" xfId="0" applyFont="1" applyBorder="1" applyAlignment="1">
      <alignment horizontal="left" vertical="center"/>
    </xf>
    <xf numFmtId="3" fontId="6" fillId="0" borderId="97" xfId="0" applyNumberFormat="1" applyFont="1" applyBorder="1" applyAlignment="1">
      <alignment horizontal="right" vertical="top" wrapText="1"/>
    </xf>
    <xf numFmtId="0" fontId="13" fillId="0" borderId="0" xfId="0" applyFont="1" applyAlignment="1">
      <alignment horizontal="left" vertical="center"/>
    </xf>
    <xf numFmtId="3" fontId="12" fillId="0" borderId="0" xfId="0" applyNumberFormat="1" applyFont="1" applyAlignment="1">
      <alignment horizontal="center" vertical="center" wrapText="1"/>
    </xf>
    <xf numFmtId="0" fontId="52" fillId="0" borderId="0" xfId="0" applyFont="1" applyAlignment="1">
      <alignment horizontal="center" vertical="center"/>
    </xf>
    <xf numFmtId="43" fontId="65" fillId="0" borderId="0" xfId="0" applyNumberFormat="1" applyFont="1"/>
    <xf numFmtId="0" fontId="13" fillId="0" borderId="0" xfId="0" applyFont="1" applyAlignment="1">
      <alignment horizontal="center" vertical="center"/>
    </xf>
    <xf numFmtId="0" fontId="13" fillId="0" borderId="0" xfId="0" applyFont="1"/>
    <xf numFmtId="3" fontId="13" fillId="0" borderId="0" xfId="0" applyNumberFormat="1" applyFont="1" applyAlignment="1">
      <alignment horizontal="center" vertical="center" wrapText="1"/>
    </xf>
    <xf numFmtId="43" fontId="92" fillId="0" borderId="0" xfId="1" applyFont="1" applyAlignment="1">
      <alignment horizontal="center" vertical="center"/>
    </xf>
    <xf numFmtId="43" fontId="92" fillId="0" borderId="0" xfId="1" applyFont="1"/>
    <xf numFmtId="43" fontId="13" fillId="0" borderId="0" xfId="1"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vertical="top" wrapText="1"/>
    </xf>
    <xf numFmtId="0" fontId="2" fillId="0" borderId="97" xfId="0" applyFont="1" applyBorder="1" applyAlignment="1">
      <alignment horizontal="left" vertical="center" wrapText="1"/>
    </xf>
    <xf numFmtId="0" fontId="1" fillId="0" borderId="97" xfId="0" applyFont="1" applyBorder="1" applyAlignment="1">
      <alignment horizontal="left" vertical="center" wrapText="1"/>
    </xf>
    <xf numFmtId="0" fontId="11" fillId="0" borderId="97" xfId="0" applyFont="1" applyBorder="1" applyAlignment="1">
      <alignment horizontal="center" vertical="center" wrapText="1"/>
    </xf>
    <xf numFmtId="0" fontId="5" fillId="0" borderId="97" xfId="0" applyFont="1" applyBorder="1" applyAlignment="1">
      <alignment vertical="center"/>
    </xf>
    <xf numFmtId="0" fontId="5" fillId="4" borderId="97" xfId="0" applyFont="1" applyFill="1" applyBorder="1" applyAlignment="1">
      <alignment vertical="center"/>
    </xf>
    <xf numFmtId="0" fontId="5" fillId="4" borderId="59" xfId="0" applyFont="1" applyFill="1" applyBorder="1" applyAlignment="1">
      <alignment vertical="center"/>
    </xf>
    <xf numFmtId="0" fontId="5" fillId="0" borderId="97" xfId="0" applyFont="1" applyBorder="1" applyAlignment="1">
      <alignment horizontal="justify" vertical="top" wrapText="1"/>
    </xf>
    <xf numFmtId="0" fontId="27" fillId="0" borderId="99" xfId="0" applyFont="1" applyBorder="1" applyAlignment="1">
      <alignment vertical="top"/>
    </xf>
    <xf numFmtId="0" fontId="22" fillId="0" borderId="0" xfId="0" applyFont="1" applyFill="1" applyAlignment="1">
      <alignment horizontal="center" wrapText="1"/>
    </xf>
    <xf numFmtId="0" fontId="23" fillId="0" borderId="0" xfId="0" applyFont="1" applyBorder="1" applyAlignment="1">
      <alignment horizontal="center"/>
    </xf>
    <xf numFmtId="0" fontId="21" fillId="0" borderId="0" xfId="0" applyFont="1" applyFill="1" applyAlignment="1">
      <alignment horizontal="center"/>
    </xf>
    <xf numFmtId="0" fontId="22" fillId="0" borderId="0" xfId="0" applyFont="1" applyFill="1" applyAlignment="1">
      <alignment horizontal="center"/>
    </xf>
    <xf numFmtId="0" fontId="21" fillId="0" borderId="0" xfId="0" applyFont="1" applyAlignment="1">
      <alignment horizontal="center"/>
    </xf>
    <xf numFmtId="0" fontId="0" fillId="0" borderId="0" xfId="0" applyAlignment="1">
      <alignment horizontal="center"/>
    </xf>
    <xf numFmtId="0" fontId="26" fillId="0" borderId="0" xfId="0" applyFont="1" applyAlignment="1">
      <alignment horizontal="center"/>
    </xf>
    <xf numFmtId="0" fontId="110" fillId="0" borderId="75" xfId="0" applyFont="1" applyFill="1" applyBorder="1" applyAlignment="1">
      <alignment horizontal="center" vertical="center" wrapText="1"/>
    </xf>
    <xf numFmtId="3" fontId="111" fillId="0" borderId="75" xfId="1" applyNumberFormat="1" applyFont="1" applyBorder="1" applyAlignment="1">
      <alignment horizontal="center" vertical="center"/>
    </xf>
    <xf numFmtId="0" fontId="68" fillId="0" borderId="75" xfId="0" applyFont="1" applyBorder="1" applyAlignment="1">
      <alignment vertical="center"/>
    </xf>
    <xf numFmtId="0" fontId="61" fillId="0" borderId="75" xfId="0" applyFont="1" applyBorder="1" applyAlignment="1">
      <alignment horizontal="center" vertical="center"/>
    </xf>
    <xf numFmtId="0" fontId="22" fillId="0" borderId="75" xfId="0" applyFont="1" applyBorder="1" applyAlignment="1">
      <alignment horizontal="justify" vertical="top" wrapText="1"/>
    </xf>
    <xf numFmtId="0" fontId="22" fillId="0" borderId="75" xfId="0" applyFont="1" applyBorder="1" applyAlignment="1">
      <alignment horizontal="left" vertical="center" wrapText="1"/>
    </xf>
    <xf numFmtId="0" fontId="6" fillId="0" borderId="75" xfId="0" applyFont="1" applyBorder="1" applyAlignment="1">
      <alignment horizontal="justify" vertical="center" wrapText="1"/>
    </xf>
    <xf numFmtId="0" fontId="6" fillId="0" borderId="75" xfId="0" applyFont="1" applyBorder="1" applyAlignment="1">
      <alignment horizontal="center" vertical="center" wrapText="1"/>
    </xf>
    <xf numFmtId="165" fontId="21" fillId="0" borderId="0" xfId="0" applyNumberFormat="1" applyFont="1" applyAlignment="1">
      <alignment horizontal="center" wrapText="1"/>
    </xf>
    <xf numFmtId="0" fontId="21" fillId="0" borderId="0" xfId="0" applyFont="1" applyAlignment="1">
      <alignment horizontal="center" wrapText="1"/>
    </xf>
    <xf numFmtId="0" fontId="21" fillId="0" borderId="0" xfId="0" quotePrefix="1" applyFont="1" applyFill="1" applyAlignment="1">
      <alignment horizontal="center"/>
    </xf>
    <xf numFmtId="164" fontId="7" fillId="0" borderId="75" xfId="3" applyNumberFormat="1" applyFont="1" applyBorder="1" applyAlignment="1">
      <alignment horizontal="left" vertical="center" wrapText="1"/>
    </xf>
    <xf numFmtId="164" fontId="21" fillId="0" borderId="75" xfId="1" applyNumberFormat="1" applyFont="1" applyBorder="1" applyAlignment="1">
      <alignment horizontal="left" vertical="center" wrapText="1"/>
    </xf>
    <xf numFmtId="0" fontId="21" fillId="0" borderId="75" xfId="0" applyFont="1" applyBorder="1" applyAlignment="1">
      <alignment horizontal="justify" vertical="center" wrapText="1"/>
    </xf>
    <xf numFmtId="0" fontId="21" fillId="0" borderId="75" xfId="0" applyFont="1" applyBorder="1" applyAlignment="1">
      <alignment vertical="center" wrapText="1"/>
    </xf>
    <xf numFmtId="164" fontId="61" fillId="0" borderId="75" xfId="1" applyNumberFormat="1" applyFont="1" applyBorder="1" applyAlignment="1">
      <alignment horizontal="left" vertical="center" wrapText="1"/>
    </xf>
    <xf numFmtId="0" fontId="8" fillId="0" borderId="75" xfId="0" applyFont="1" applyBorder="1" applyAlignment="1">
      <alignment horizontal="center" vertical="top" wrapText="1"/>
    </xf>
    <xf numFmtId="0" fontId="8" fillId="0" borderId="75" xfId="0" applyFont="1" applyBorder="1" applyAlignment="1">
      <alignment horizontal="justify" vertical="top" wrapText="1"/>
    </xf>
    <xf numFmtId="0" fontId="8" fillId="0" borderId="75" xfId="0" applyFont="1" applyBorder="1" applyAlignment="1">
      <alignment vertical="top"/>
    </xf>
    <xf numFmtId="0" fontId="7" fillId="0" borderId="75" xfId="0" applyFont="1" applyBorder="1" applyAlignment="1">
      <alignment horizontal="center" vertical="top" wrapText="1"/>
    </xf>
    <xf numFmtId="0" fontId="7" fillId="0" borderId="75" xfId="0" applyFont="1" applyBorder="1" applyAlignment="1">
      <alignment horizontal="justify" vertical="top" wrapText="1"/>
    </xf>
    <xf numFmtId="0" fontId="7" fillId="0" borderId="75" xfId="0" applyFont="1" applyBorder="1" applyAlignment="1">
      <alignment vertical="top"/>
    </xf>
    <xf numFmtId="0" fontId="5" fillId="0" borderId="75" xfId="0" applyFont="1" applyBorder="1" applyAlignment="1">
      <alignment vertical="top" wrapText="1"/>
    </xf>
    <xf numFmtId="0" fontId="7" fillId="0" borderId="75" xfId="0" applyFont="1" applyBorder="1" applyAlignment="1">
      <alignment vertical="top" wrapText="1"/>
    </xf>
    <xf numFmtId="0" fontId="6" fillId="0" borderId="75" xfId="0" applyFont="1" applyBorder="1" applyAlignment="1">
      <alignment horizontal="justify" vertical="top" wrapText="1"/>
    </xf>
    <xf numFmtId="0" fontId="6" fillId="0" borderId="75" xfId="0" applyFont="1" applyBorder="1" applyAlignment="1">
      <alignment vertical="top" wrapText="1"/>
    </xf>
    <xf numFmtId="0" fontId="5" fillId="0" borderId="75" xfId="0" applyFont="1" applyBorder="1" applyAlignment="1">
      <alignment horizontal="center" vertical="top" wrapText="1"/>
    </xf>
    <xf numFmtId="0" fontId="61" fillId="0" borderId="75" xfId="0" applyFont="1" applyBorder="1" applyAlignment="1">
      <alignment horizontal="justify" vertical="center" wrapText="1"/>
    </xf>
    <xf numFmtId="0" fontId="5" fillId="0" borderId="75" xfId="0" applyFont="1" applyBorder="1" applyAlignment="1">
      <alignment horizontal="justify" vertical="top" wrapText="1"/>
    </xf>
    <xf numFmtId="0" fontId="61" fillId="0" borderId="75" xfId="0" applyFont="1" applyBorder="1" applyAlignment="1">
      <alignment horizontal="center" vertical="center" wrapText="1"/>
    </xf>
    <xf numFmtId="0" fontId="61" fillId="0" borderId="75" xfId="0" applyFont="1" applyBorder="1" applyAlignment="1">
      <alignment vertical="center" wrapText="1"/>
    </xf>
    <xf numFmtId="0" fontId="6" fillId="0" borderId="75" xfId="0" applyFont="1" applyBorder="1" applyAlignment="1">
      <alignment horizontal="center" vertical="top"/>
    </xf>
    <xf numFmtId="0" fontId="0" fillId="0" borderId="75" xfId="0" applyFont="1" applyBorder="1" applyAlignment="1">
      <alignment horizontal="center"/>
    </xf>
    <xf numFmtId="0" fontId="0" fillId="0" borderId="75" xfId="0" applyBorder="1" applyAlignment="1">
      <alignment wrapText="1"/>
    </xf>
    <xf numFmtId="0" fontId="5" fillId="0" borderId="75" xfId="0" applyFont="1" applyBorder="1" applyAlignment="1">
      <alignment horizontal="center"/>
    </xf>
    <xf numFmtId="0" fontId="5" fillId="0" borderId="75" xfId="0" applyFont="1" applyBorder="1" applyAlignment="1">
      <alignment horizontal="justify" vertical="center" wrapText="1"/>
    </xf>
    <xf numFmtId="0" fontId="5" fillId="0" borderId="75" xfId="0" applyFont="1" applyBorder="1" applyAlignment="1">
      <alignment wrapText="1"/>
    </xf>
    <xf numFmtId="0" fontId="5" fillId="0" borderId="75" xfId="0" applyFont="1" applyBorder="1" applyAlignment="1">
      <alignment vertical="center" wrapText="1"/>
    </xf>
    <xf numFmtId="0" fontId="6" fillId="0" borderId="75" xfId="0" applyFont="1" applyBorder="1" applyAlignment="1">
      <alignment vertical="center" wrapText="1"/>
    </xf>
    <xf numFmtId="0" fontId="24" fillId="0" borderId="75" xfId="0" applyFont="1" applyBorder="1" applyAlignment="1">
      <alignment horizontal="left" vertical="center" wrapText="1"/>
    </xf>
    <xf numFmtId="0" fontId="24" fillId="0" borderId="75" xfId="0" applyFont="1" applyBorder="1" applyAlignment="1">
      <alignment vertical="center"/>
    </xf>
    <xf numFmtId="0" fontId="25" fillId="0" borderId="75" xfId="0" applyFont="1" applyBorder="1" applyAlignment="1">
      <alignment horizontal="center" vertical="center"/>
    </xf>
    <xf numFmtId="0" fontId="24" fillId="0" borderId="75" xfId="0" applyFont="1" applyBorder="1" applyAlignment="1">
      <alignment vertical="center" wrapText="1"/>
    </xf>
    <xf numFmtId="0" fontId="25" fillId="0" borderId="75" xfId="0" applyFont="1" applyBorder="1" applyAlignment="1">
      <alignment horizontal="center" vertical="center" wrapText="1"/>
    </xf>
    <xf numFmtId="0" fontId="25" fillId="0" borderId="75" xfId="0" applyFont="1" applyBorder="1" applyAlignment="1">
      <alignment vertical="center"/>
    </xf>
    <xf numFmtId="0" fontId="25" fillId="0" borderId="75" xfId="0" applyFont="1" applyBorder="1" applyAlignment="1">
      <alignment horizontal="left" vertical="center" wrapText="1"/>
    </xf>
    <xf numFmtId="164" fontId="25" fillId="0" borderId="75" xfId="1" applyNumberFormat="1" applyFont="1" applyBorder="1" applyAlignment="1">
      <alignment horizontal="center" vertical="center" wrapText="1"/>
    </xf>
    <xf numFmtId="164" fontId="9" fillId="0" borderId="75" xfId="1" applyNumberFormat="1" applyFont="1" applyBorder="1" applyAlignment="1">
      <alignment vertical="top"/>
    </xf>
    <xf numFmtId="164" fontId="25" fillId="0" borderId="75" xfId="1" applyNumberFormat="1" applyFont="1" applyBorder="1" applyAlignment="1">
      <alignment horizontal="center" vertical="center"/>
    </xf>
    <xf numFmtId="0" fontId="112" fillId="0" borderId="75" xfId="0" applyFont="1" applyFill="1" applyBorder="1" applyAlignment="1">
      <alignment horizontal="center" vertical="center"/>
    </xf>
    <xf numFmtId="0" fontId="112" fillId="0" borderId="75" xfId="0" applyFont="1" applyFill="1" applyBorder="1" applyAlignment="1">
      <alignment horizontal="left" vertical="center" wrapText="1"/>
    </xf>
    <xf numFmtId="0" fontId="25" fillId="0" borderId="75" xfId="0" quotePrefix="1" applyFont="1" applyBorder="1" applyAlignment="1">
      <alignment horizontal="center" vertical="center"/>
    </xf>
    <xf numFmtId="164" fontId="24" fillId="0" borderId="75" xfId="0" applyNumberFormat="1" applyFont="1" applyBorder="1" applyAlignment="1">
      <alignment vertical="center"/>
    </xf>
    <xf numFmtId="0" fontId="22" fillId="0" borderId="0" xfId="0" applyFont="1" applyAlignment="1">
      <alignment horizontal="center"/>
    </xf>
    <xf numFmtId="0" fontId="23" fillId="0" borderId="0" xfId="0" applyFont="1" applyBorder="1" applyAlignment="1">
      <alignment horizontal="center"/>
    </xf>
    <xf numFmtId="0" fontId="21" fillId="0" borderId="0" xfId="0" applyFont="1" applyAlignment="1">
      <alignment horizontal="center"/>
    </xf>
    <xf numFmtId="0" fontId="0" fillId="0" borderId="0" xfId="0" applyAlignment="1">
      <alignment horizontal="center"/>
    </xf>
    <xf numFmtId="0" fontId="24" fillId="0" borderId="0" xfId="0" applyFont="1" applyBorder="1" applyAlignment="1">
      <alignment vertical="center"/>
    </xf>
    <xf numFmtId="0" fontId="25" fillId="0" borderId="0" xfId="0" applyFont="1" applyBorder="1" applyAlignment="1">
      <alignment vertical="center"/>
    </xf>
    <xf numFmtId="0" fontId="21" fillId="4" borderId="0" xfId="0" applyFont="1" applyFill="1" applyAlignment="1">
      <alignment horizontal="center" wrapText="1"/>
    </xf>
    <xf numFmtId="0" fontId="0" fillId="0" borderId="0" xfId="0" applyAlignment="1">
      <alignment horizontal="center" wrapText="1"/>
    </xf>
    <xf numFmtId="0" fontId="112" fillId="0" borderId="75" xfId="0" applyFont="1" applyFill="1" applyBorder="1" applyAlignment="1">
      <alignment horizontal="right" vertical="center"/>
    </xf>
    <xf numFmtId="0" fontId="14" fillId="0" borderId="20" xfId="0" applyFont="1" applyBorder="1" applyAlignment="1">
      <alignment horizontal="center" vertical="center"/>
    </xf>
    <xf numFmtId="0" fontId="9" fillId="0" borderId="0" xfId="0" applyFont="1" applyAlignment="1">
      <alignment horizontal="center"/>
    </xf>
    <xf numFmtId="164" fontId="22" fillId="0" borderId="34" xfId="1" applyNumberFormat="1" applyFont="1" applyBorder="1" applyAlignment="1">
      <alignment horizontal="center" vertical="center" wrapText="1"/>
    </xf>
    <xf numFmtId="164" fontId="22" fillId="0" borderId="11" xfId="1" applyNumberFormat="1" applyFont="1" applyBorder="1" applyAlignment="1">
      <alignment horizontal="center" vertical="center" wrapText="1"/>
    </xf>
    <xf numFmtId="0" fontId="9" fillId="0" borderId="69" xfId="0" applyFont="1" applyBorder="1" applyAlignment="1">
      <alignment horizontal="center" vertical="center"/>
    </xf>
    <xf numFmtId="0" fontId="14" fillId="0" borderId="75" xfId="0" applyFont="1" applyBorder="1" applyAlignment="1">
      <alignment horizontal="center" vertical="center"/>
    </xf>
    <xf numFmtId="0" fontId="6" fillId="0" borderId="11" xfId="6" applyFont="1" applyFill="1" applyBorder="1" applyAlignment="1">
      <alignment horizontal="center" vertical="center" wrapText="1"/>
    </xf>
    <xf numFmtId="164" fontId="22" fillId="0" borderId="101" xfId="1" quotePrefix="1" applyNumberFormat="1" applyFont="1" applyBorder="1" applyAlignment="1">
      <alignment horizontal="center" vertical="center" wrapText="1"/>
    </xf>
    <xf numFmtId="164" fontId="22" fillId="0" borderId="102" xfId="1" quotePrefix="1" applyNumberFormat="1" applyFont="1" applyBorder="1" applyAlignment="1">
      <alignment horizontal="center" vertical="center" wrapText="1"/>
    </xf>
    <xf numFmtId="164" fontId="22" fillId="0" borderId="101" xfId="1" applyNumberFormat="1" applyFont="1" applyBorder="1" applyAlignment="1">
      <alignment horizontal="center" vertical="center" wrapText="1"/>
    </xf>
    <xf numFmtId="0" fontId="22" fillId="0" borderId="101" xfId="0" applyFont="1" applyBorder="1" applyAlignment="1">
      <alignment horizontal="center" vertical="center" wrapText="1"/>
    </xf>
    <xf numFmtId="0" fontId="22" fillId="0" borderId="102" xfId="0" applyFont="1" applyBorder="1" applyAlignment="1">
      <alignment vertical="center"/>
    </xf>
    <xf numFmtId="0" fontId="21" fillId="0" borderId="101" xfId="0" applyFont="1" applyBorder="1" applyAlignment="1">
      <alignment horizontal="center" vertical="center" wrapText="1"/>
    </xf>
    <xf numFmtId="0" fontId="21" fillId="0" borderId="102" xfId="0" applyFont="1" applyBorder="1" applyAlignment="1">
      <alignment vertical="center"/>
    </xf>
    <xf numFmtId="0" fontId="21" fillId="0" borderId="101" xfId="0" applyFont="1" applyBorder="1" applyAlignment="1">
      <alignment horizontal="right" vertical="center" wrapText="1"/>
    </xf>
    <xf numFmtId="0" fontId="21" fillId="0" borderId="103" xfId="0" applyFont="1" applyBorder="1" applyAlignment="1">
      <alignment horizontal="right" vertical="center" wrapText="1"/>
    </xf>
    <xf numFmtId="0" fontId="22" fillId="0" borderId="104" xfId="0" applyFont="1" applyBorder="1" applyAlignment="1">
      <alignment horizontal="justify" vertical="center" wrapText="1"/>
    </xf>
    <xf numFmtId="0" fontId="21" fillId="0" borderId="104" xfId="0" applyFont="1" applyBorder="1" applyAlignment="1">
      <alignment horizontal="center" vertical="center" wrapText="1"/>
    </xf>
    <xf numFmtId="0" fontId="22" fillId="0" borderId="104" xfId="0" applyFont="1" applyBorder="1" applyAlignment="1">
      <alignment horizontal="center" vertical="center" wrapText="1"/>
    </xf>
    <xf numFmtId="0" fontId="22" fillId="0" borderId="104" xfId="0" applyNumberFormat="1" applyFont="1" applyBorder="1" applyAlignment="1">
      <alignment horizontal="center" vertical="center" wrapText="1"/>
    </xf>
    <xf numFmtId="0" fontId="21" fillId="0" borderId="105" xfId="0" applyFont="1" applyBorder="1" applyAlignment="1">
      <alignment vertical="center"/>
    </xf>
    <xf numFmtId="0" fontId="22" fillId="0" borderId="101" xfId="0" applyFont="1" applyBorder="1" applyAlignment="1">
      <alignment horizontal="center" vertical="top" wrapText="1"/>
    </xf>
    <xf numFmtId="0" fontId="22" fillId="0" borderId="102" xfId="0" applyFont="1" applyBorder="1" applyAlignment="1">
      <alignment horizontal="center" vertical="center" wrapText="1"/>
    </xf>
    <xf numFmtId="0" fontId="21" fillId="0" borderId="102" xfId="0" applyFont="1" applyBorder="1" applyAlignment="1">
      <alignment horizontal="center" vertical="center" wrapText="1"/>
    </xf>
    <xf numFmtId="0" fontId="6" fillId="0" borderId="101" xfId="0" applyFont="1" applyBorder="1" applyAlignment="1">
      <alignment horizontal="center" vertical="center" wrapText="1"/>
    </xf>
    <xf numFmtId="0" fontId="5" fillId="0" borderId="101" xfId="0" applyFont="1" applyBorder="1" applyAlignment="1">
      <alignment horizontal="center" vertical="center" wrapText="1"/>
    </xf>
    <xf numFmtId="0" fontId="21" fillId="0" borderId="103" xfId="0" applyFont="1" applyBorder="1" applyAlignment="1">
      <alignment horizontal="center" vertical="center" wrapText="1"/>
    </xf>
    <xf numFmtId="164" fontId="22" fillId="0" borderId="104" xfId="0" applyNumberFormat="1" applyFont="1" applyBorder="1" applyAlignment="1">
      <alignment horizontal="center" vertical="center" wrapText="1"/>
    </xf>
    <xf numFmtId="164" fontId="22" fillId="0" borderId="75" xfId="1" applyNumberFormat="1" applyFont="1" applyFill="1" applyBorder="1" applyAlignment="1">
      <alignment horizontal="center" vertical="center" wrapText="1"/>
    </xf>
    <xf numFmtId="49" fontId="22" fillId="0" borderId="101" xfId="1" quotePrefix="1" applyNumberFormat="1" applyFont="1" applyFill="1" applyBorder="1" applyAlignment="1">
      <alignment horizontal="center" vertical="center" wrapText="1"/>
    </xf>
    <xf numFmtId="49" fontId="22" fillId="0" borderId="75" xfId="1" quotePrefix="1" applyNumberFormat="1" applyFont="1" applyFill="1" applyBorder="1" applyAlignment="1">
      <alignment horizontal="center" vertical="center" wrapText="1"/>
    </xf>
    <xf numFmtId="49" fontId="22" fillId="0" borderId="75" xfId="1" applyNumberFormat="1" applyFont="1" applyFill="1" applyBorder="1" applyAlignment="1">
      <alignment horizontal="center" vertical="center" wrapText="1"/>
    </xf>
    <xf numFmtId="49" fontId="29" fillId="0" borderId="75" xfId="1" applyNumberFormat="1" applyFont="1" applyFill="1" applyBorder="1" applyAlignment="1">
      <alignment horizontal="center" vertical="center" wrapText="1"/>
    </xf>
    <xf numFmtId="49" fontId="22" fillId="0" borderId="102" xfId="1" applyNumberFormat="1" applyFont="1" applyFill="1" applyBorder="1" applyAlignment="1">
      <alignment horizontal="center" vertical="center" wrapText="1"/>
    </xf>
    <xf numFmtId="164" fontId="22" fillId="0" borderId="101" xfId="1" applyNumberFormat="1" applyFont="1" applyFill="1" applyBorder="1" applyAlignment="1">
      <alignment vertical="center" wrapText="1"/>
    </xf>
    <xf numFmtId="164" fontId="22" fillId="7" borderId="75" xfId="1" applyNumberFormat="1" applyFont="1" applyFill="1" applyBorder="1" applyAlignment="1">
      <alignment vertical="center" wrapText="1"/>
    </xf>
    <xf numFmtId="164" fontId="21" fillId="0" borderId="75" xfId="1" applyNumberFormat="1" applyFont="1" applyFill="1" applyBorder="1" applyAlignment="1">
      <alignment horizontal="center" vertical="center" wrapText="1"/>
    </xf>
    <xf numFmtId="164" fontId="22" fillId="0" borderId="102" xfId="1" applyNumberFormat="1" applyFont="1" applyFill="1" applyBorder="1" applyAlignment="1">
      <alignment horizontal="center" vertical="center" wrapText="1"/>
    </xf>
    <xf numFmtId="164" fontId="22" fillId="0" borderId="75" xfId="1" applyNumberFormat="1" applyFont="1" applyFill="1" applyBorder="1" applyAlignment="1">
      <alignment vertical="center" wrapText="1"/>
    </xf>
    <xf numFmtId="0" fontId="22" fillId="0" borderId="101" xfId="0" applyFont="1" applyFill="1" applyBorder="1" applyAlignment="1">
      <alignment vertical="top" wrapText="1"/>
    </xf>
    <xf numFmtId="0" fontId="22" fillId="0" borderId="75" xfId="0" applyFont="1" applyFill="1" applyBorder="1" applyAlignment="1">
      <alignment horizontal="left" vertical="top" wrapText="1"/>
    </xf>
    <xf numFmtId="0" fontId="22" fillId="0" borderId="75" xfId="0" applyFont="1" applyFill="1" applyBorder="1" applyAlignment="1">
      <alignment horizontal="center" vertical="top" wrapText="1"/>
    </xf>
    <xf numFmtId="0" fontId="22" fillId="0" borderId="102" xfId="0" applyFont="1" applyFill="1" applyBorder="1" applyAlignment="1">
      <alignment horizontal="center" vertical="top"/>
    </xf>
    <xf numFmtId="166" fontId="21" fillId="0" borderId="101" xfId="0" applyNumberFormat="1" applyFont="1" applyFill="1" applyBorder="1" applyAlignment="1">
      <alignment vertical="top" wrapText="1"/>
    </xf>
    <xf numFmtId="0" fontId="22" fillId="0" borderId="75" xfId="0" applyFont="1" applyBorder="1" applyAlignment="1">
      <alignment horizontal="center" vertical="center"/>
    </xf>
    <xf numFmtId="0" fontId="21" fillId="0" borderId="75" xfId="0" applyFont="1" applyFill="1" applyBorder="1" applyAlignment="1">
      <alignment horizontal="center" vertical="top"/>
    </xf>
    <xf numFmtId="0" fontId="21" fillId="0" borderId="75" xfId="0" applyFont="1" applyFill="1" applyBorder="1" applyAlignment="1">
      <alignment horizontal="center" vertical="center"/>
    </xf>
    <xf numFmtId="0" fontId="22" fillId="0" borderId="102" xfId="0" applyFont="1" applyFill="1" applyBorder="1" applyAlignment="1">
      <alignment horizontal="center" vertical="top" wrapText="1"/>
    </xf>
    <xf numFmtId="0" fontId="41" fillId="0" borderId="75" xfId="0" applyFont="1" applyBorder="1" applyAlignment="1">
      <alignment wrapText="1"/>
    </xf>
    <xf numFmtId="0" fontId="22" fillId="5" borderId="75" xfId="0" applyFont="1" applyFill="1" applyBorder="1" applyAlignment="1">
      <alignment horizontal="center" vertical="center" wrapText="1"/>
    </xf>
    <xf numFmtId="0" fontId="21" fillId="0" borderId="75" xfId="0" applyFont="1" applyBorder="1"/>
    <xf numFmtId="0" fontId="21" fillId="9" borderId="75" xfId="0" applyFont="1" applyFill="1" applyBorder="1" applyAlignment="1">
      <alignment horizontal="justify" wrapText="1"/>
    </xf>
    <xf numFmtId="0" fontId="21" fillId="0" borderId="75" xfId="0" applyFont="1" applyFill="1" applyBorder="1" applyAlignment="1">
      <alignment horizontal="center" vertical="top" wrapText="1"/>
    </xf>
    <xf numFmtId="0" fontId="21" fillId="0" borderId="102" xfId="0" applyFont="1" applyFill="1" applyBorder="1" applyAlignment="1">
      <alignment horizontal="center" vertical="top"/>
    </xf>
    <xf numFmtId="0" fontId="59" fillId="0" borderId="75" xfId="0" applyFont="1" applyBorder="1" applyAlignment="1">
      <alignment horizontal="center" vertical="top"/>
    </xf>
    <xf numFmtId="0" fontId="22" fillId="0" borderId="75" xfId="0" applyFont="1" applyBorder="1" applyAlignment="1">
      <alignment horizontal="center" vertical="top"/>
    </xf>
    <xf numFmtId="0" fontId="21" fillId="0" borderId="75" xfId="0" applyFont="1" applyBorder="1" applyAlignment="1">
      <alignment horizontal="center" vertical="top"/>
    </xf>
    <xf numFmtId="0" fontId="22" fillId="4" borderId="75" xfId="0" applyFont="1" applyFill="1" applyBorder="1" applyAlignment="1">
      <alignment horizontal="center" vertical="center" wrapText="1"/>
    </xf>
    <xf numFmtId="1" fontId="22" fillId="0" borderId="101" xfId="0" applyNumberFormat="1" applyFont="1" applyFill="1" applyBorder="1" applyAlignment="1">
      <alignment vertical="top" wrapText="1"/>
    </xf>
    <xf numFmtId="166" fontId="22" fillId="0" borderId="75" xfId="0" applyNumberFormat="1" applyFont="1" applyBorder="1" applyAlignment="1">
      <alignment vertical="top" wrapText="1"/>
    </xf>
    <xf numFmtId="0" fontId="21" fillId="0" borderId="102" xfId="0" applyFont="1" applyFill="1" applyBorder="1" applyAlignment="1">
      <alignment horizontal="center" vertical="center" wrapText="1"/>
    </xf>
    <xf numFmtId="1" fontId="21" fillId="0" borderId="101" xfId="0" applyNumberFormat="1" applyFont="1" applyFill="1" applyBorder="1" applyAlignment="1">
      <alignment vertical="top" wrapText="1"/>
    </xf>
    <xf numFmtId="166" fontId="21" fillId="0" borderId="75" xfId="0" applyNumberFormat="1" applyFont="1" applyBorder="1" applyAlignment="1">
      <alignment vertical="top" wrapText="1"/>
    </xf>
    <xf numFmtId="1" fontId="21" fillId="7" borderId="101" xfId="0" applyNumberFormat="1" applyFont="1" applyFill="1" applyBorder="1" applyAlignment="1">
      <alignment vertical="top" wrapText="1"/>
    </xf>
    <xf numFmtId="166" fontId="22" fillId="7" borderId="75" xfId="0" applyNumberFormat="1" applyFont="1" applyFill="1" applyBorder="1" applyAlignment="1">
      <alignment horizontal="center" vertical="top" wrapText="1"/>
    </xf>
    <xf numFmtId="0" fontId="22" fillId="7" borderId="75" xfId="0" applyFont="1" applyFill="1" applyBorder="1" applyAlignment="1">
      <alignment horizontal="center" vertical="center" wrapText="1"/>
    </xf>
    <xf numFmtId="0" fontId="21" fillId="7" borderId="75" xfId="0" applyFont="1" applyFill="1" applyBorder="1" applyAlignment="1">
      <alignment horizontal="center" vertical="top" wrapText="1"/>
    </xf>
    <xf numFmtId="0" fontId="21" fillId="7" borderId="102" xfId="0" applyFont="1" applyFill="1" applyBorder="1" applyAlignment="1">
      <alignment horizontal="center" vertical="top"/>
    </xf>
    <xf numFmtId="0" fontId="21" fillId="0" borderId="75" xfId="0" applyFont="1" applyFill="1" applyBorder="1" applyAlignment="1">
      <alignment horizontal="left" vertical="top" wrapText="1"/>
    </xf>
    <xf numFmtId="166" fontId="21" fillId="0" borderId="75" xfId="0" applyNumberFormat="1" applyFont="1" applyFill="1" applyBorder="1" applyAlignment="1">
      <alignment horizontal="left" vertical="top" wrapText="1"/>
    </xf>
    <xf numFmtId="1" fontId="22" fillId="0" borderId="101" xfId="0" applyNumberFormat="1" applyFont="1" applyBorder="1" applyAlignment="1">
      <alignment vertical="top" wrapText="1"/>
    </xf>
    <xf numFmtId="166" fontId="21" fillId="7" borderId="101" xfId="0" applyNumberFormat="1" applyFont="1" applyFill="1" applyBorder="1" applyAlignment="1">
      <alignment vertical="top" wrapText="1"/>
    </xf>
    <xf numFmtId="0" fontId="22" fillId="7" borderId="75" xfId="0" applyFont="1" applyFill="1" applyBorder="1" applyAlignment="1">
      <alignment horizontal="center" vertical="top"/>
    </xf>
    <xf numFmtId="166" fontId="21" fillId="0" borderId="75" xfId="0" applyNumberFormat="1" applyFont="1" applyBorder="1" applyAlignment="1">
      <alignment horizontal="left" vertical="top" wrapText="1"/>
    </xf>
    <xf numFmtId="0" fontId="21" fillId="0" borderId="75" xfId="0" applyFont="1" applyBorder="1" applyAlignment="1">
      <alignment horizontal="left" vertical="top" wrapText="1"/>
    </xf>
    <xf numFmtId="1" fontId="21" fillId="4" borderId="101" xfId="0" applyNumberFormat="1" applyFont="1" applyFill="1" applyBorder="1" applyAlignment="1">
      <alignment vertical="top" wrapText="1"/>
    </xf>
    <xf numFmtId="0" fontId="59" fillId="4" borderId="75" xfId="0" applyFont="1" applyFill="1" applyBorder="1" applyAlignment="1">
      <alignment horizontal="center" vertical="top"/>
    </xf>
    <xf numFmtId="0" fontId="21" fillId="4" borderId="102" xfId="0" applyFont="1" applyFill="1" applyBorder="1" applyAlignment="1">
      <alignment horizontal="center" vertical="top"/>
    </xf>
    <xf numFmtId="0" fontId="21" fillId="4" borderId="75" xfId="0" applyFont="1" applyFill="1" applyBorder="1" applyAlignment="1">
      <alignment horizontal="center" vertical="top" wrapText="1"/>
    </xf>
    <xf numFmtId="0" fontId="22" fillId="4" borderId="75" xfId="0" applyFont="1" applyFill="1" applyBorder="1" applyAlignment="1">
      <alignment horizontal="center" vertical="center"/>
    </xf>
    <xf numFmtId="166" fontId="22" fillId="4" borderId="75" xfId="0" applyNumberFormat="1" applyFont="1" applyFill="1" applyBorder="1" applyAlignment="1">
      <alignment horizontal="center" vertical="top" wrapText="1"/>
    </xf>
    <xf numFmtId="0" fontId="22" fillId="4" borderId="75" xfId="0" applyFont="1" applyFill="1" applyBorder="1" applyAlignment="1">
      <alignment horizontal="center" vertical="top" wrapText="1"/>
    </xf>
    <xf numFmtId="0" fontId="59" fillId="7" borderId="101" xfId="0" applyFont="1" applyFill="1" applyBorder="1" applyAlignment="1">
      <alignment vertical="top"/>
    </xf>
    <xf numFmtId="164" fontId="22" fillId="4" borderId="101" xfId="1" applyNumberFormat="1" applyFont="1" applyFill="1" applyBorder="1" applyAlignment="1">
      <alignment vertical="center" wrapText="1"/>
    </xf>
    <xf numFmtId="164" fontId="22" fillId="4" borderId="75" xfId="1" applyNumberFormat="1" applyFont="1" applyFill="1" applyBorder="1" applyAlignment="1">
      <alignment vertical="center" wrapText="1"/>
    </xf>
    <xf numFmtId="0" fontId="21" fillId="4" borderId="75" xfId="0" applyFont="1" applyFill="1" applyBorder="1" applyAlignment="1">
      <alignment horizontal="center" vertical="center" wrapText="1"/>
    </xf>
    <xf numFmtId="164" fontId="22" fillId="5" borderId="101" xfId="1" applyNumberFormat="1" applyFont="1" applyFill="1" applyBorder="1" applyAlignment="1">
      <alignment vertical="center" wrapText="1"/>
    </xf>
    <xf numFmtId="164" fontId="22" fillId="5" borderId="75" xfId="1" applyNumberFormat="1" applyFont="1" applyFill="1" applyBorder="1" applyAlignment="1">
      <alignment vertical="center" wrapText="1"/>
    </xf>
    <xf numFmtId="0" fontId="21" fillId="5" borderId="75" xfId="0" applyFont="1" applyFill="1" applyBorder="1" applyAlignment="1">
      <alignment horizontal="center" vertical="top" wrapText="1"/>
    </xf>
    <xf numFmtId="0" fontId="22" fillId="5" borderId="75" xfId="0" applyFont="1" applyFill="1" applyBorder="1" applyAlignment="1">
      <alignment horizontal="center" vertical="center"/>
    </xf>
    <xf numFmtId="166" fontId="22" fillId="5" borderId="75" xfId="0" applyNumberFormat="1" applyFont="1" applyFill="1" applyBorder="1" applyAlignment="1">
      <alignment horizontal="center" vertical="center" wrapText="1"/>
    </xf>
    <xf numFmtId="0" fontId="22" fillId="5" borderId="102" xfId="0" applyFont="1" applyFill="1" applyBorder="1" applyAlignment="1">
      <alignment horizontal="center" vertical="top" wrapText="1"/>
    </xf>
    <xf numFmtId="164" fontId="22" fillId="0" borderId="101" xfId="0" applyNumberFormat="1" applyFont="1" applyBorder="1" applyAlignment="1">
      <alignment vertical="center" wrapText="1"/>
    </xf>
    <xf numFmtId="164" fontId="22" fillId="0" borderId="75" xfId="0" applyNumberFormat="1" applyFont="1" applyBorder="1" applyAlignment="1">
      <alignment vertical="center" wrapText="1"/>
    </xf>
    <xf numFmtId="0" fontId="22" fillId="0" borderId="101" xfId="0" applyFont="1" applyBorder="1" applyAlignment="1">
      <alignment vertical="top" wrapText="1"/>
    </xf>
    <xf numFmtId="0" fontId="22" fillId="0" borderId="75" xfId="0" applyFont="1" applyBorder="1" applyAlignment="1">
      <alignment horizontal="left" vertical="top" wrapText="1"/>
    </xf>
    <xf numFmtId="1" fontId="21" fillId="0" borderId="101" xfId="0" applyNumberFormat="1" applyFont="1" applyBorder="1" applyAlignment="1">
      <alignment vertical="top" wrapText="1"/>
    </xf>
    <xf numFmtId="0" fontId="56" fillId="0" borderId="75" xfId="0" applyFont="1" applyFill="1" applyBorder="1" applyAlignment="1">
      <alignment horizontal="center" vertical="top"/>
    </xf>
    <xf numFmtId="0" fontId="21" fillId="0" borderId="75" xfId="0" applyFont="1" applyBorder="1" applyAlignment="1">
      <alignment horizontal="center" wrapText="1"/>
    </xf>
    <xf numFmtId="1" fontId="22" fillId="7" borderId="101" xfId="0" applyNumberFormat="1" applyFont="1" applyFill="1" applyBorder="1" applyAlignment="1">
      <alignment vertical="top" wrapText="1"/>
    </xf>
    <xf numFmtId="164" fontId="22" fillId="7" borderId="75" xfId="1" applyNumberFormat="1" applyFont="1" applyFill="1" applyBorder="1" applyAlignment="1">
      <alignment horizontal="center" vertical="center" wrapText="1"/>
    </xf>
    <xf numFmtId="166" fontId="21" fillId="0" borderId="101" xfId="0" applyNumberFormat="1" applyFont="1" applyBorder="1" applyAlignment="1">
      <alignment vertical="top" wrapText="1"/>
    </xf>
    <xf numFmtId="0" fontId="21" fillId="0" borderId="75" xfId="0" applyFont="1" applyBorder="1" applyAlignment="1">
      <alignment vertical="top" wrapText="1"/>
    </xf>
    <xf numFmtId="0" fontId="59" fillId="0" borderId="75" xfId="0" applyFont="1" applyFill="1" applyBorder="1" applyAlignment="1">
      <alignment horizontal="center" vertical="top"/>
    </xf>
    <xf numFmtId="0" fontId="21" fillId="0" borderId="75" xfId="0" applyFont="1" applyBorder="1" applyAlignment="1">
      <alignment horizontal="center" vertical="top" wrapText="1"/>
    </xf>
    <xf numFmtId="166" fontId="21" fillId="7" borderId="75" xfId="0" applyNumberFormat="1" applyFont="1" applyFill="1" applyBorder="1" applyAlignment="1">
      <alignment horizontal="center" vertical="top" wrapText="1"/>
    </xf>
    <xf numFmtId="166" fontId="22" fillId="5" borderId="75" xfId="0" applyNumberFormat="1" applyFont="1" applyFill="1" applyBorder="1" applyAlignment="1">
      <alignment horizontal="center" vertical="top" wrapText="1"/>
    </xf>
    <xf numFmtId="164" fontId="22" fillId="0" borderId="101" xfId="3" applyNumberFormat="1" applyFont="1" applyFill="1" applyBorder="1" applyAlignment="1">
      <alignment vertical="center" wrapText="1"/>
    </xf>
    <xf numFmtId="164" fontId="22" fillId="7" borderId="75" xfId="3" applyNumberFormat="1" applyFont="1" applyFill="1" applyBorder="1" applyAlignment="1">
      <alignment vertical="center" wrapText="1"/>
    </xf>
    <xf numFmtId="164" fontId="22" fillId="0" borderId="75" xfId="3" applyNumberFormat="1" applyFont="1" applyFill="1" applyBorder="1" applyAlignment="1">
      <alignment horizontal="center" vertical="center" wrapText="1"/>
    </xf>
    <xf numFmtId="164" fontId="21" fillId="0" borderId="75" xfId="3" applyNumberFormat="1" applyFont="1" applyFill="1" applyBorder="1" applyAlignment="1">
      <alignment horizontal="center" vertical="center" wrapText="1"/>
    </xf>
    <xf numFmtId="164" fontId="22" fillId="0" borderId="75" xfId="3" applyNumberFormat="1" applyFont="1" applyFill="1" applyBorder="1" applyAlignment="1">
      <alignment vertical="center" wrapText="1"/>
    </xf>
    <xf numFmtId="1" fontId="22" fillId="0" borderId="101" xfId="0" applyNumberFormat="1" applyFont="1" applyFill="1" applyBorder="1" applyAlignment="1">
      <alignment horizontal="center" vertical="top" wrapText="1"/>
    </xf>
    <xf numFmtId="166" fontId="21" fillId="0" borderId="75" xfId="0" applyNumberFormat="1" applyFont="1" applyFill="1" applyBorder="1" applyAlignment="1">
      <alignment vertical="top" wrapText="1"/>
    </xf>
    <xf numFmtId="0" fontId="21" fillId="0" borderId="75" xfId="0" applyNumberFormat="1" applyFont="1" applyFill="1" applyBorder="1" applyAlignment="1">
      <alignment horizontal="center" vertical="center" wrapText="1"/>
    </xf>
    <xf numFmtId="1" fontId="21" fillId="5" borderId="101" xfId="0" applyNumberFormat="1" applyFont="1" applyFill="1" applyBorder="1" applyAlignment="1">
      <alignment vertical="top" wrapText="1"/>
    </xf>
    <xf numFmtId="0" fontId="22" fillId="5" borderId="102" xfId="0" applyFont="1" applyFill="1" applyBorder="1" applyAlignment="1">
      <alignment horizontal="center" vertical="top"/>
    </xf>
    <xf numFmtId="166" fontId="22" fillId="0" borderId="75" xfId="0" applyNumberFormat="1" applyFont="1" applyFill="1" applyBorder="1" applyAlignment="1">
      <alignment vertical="top" wrapText="1"/>
    </xf>
    <xf numFmtId="0" fontId="21" fillId="4" borderId="75" xfId="0" applyFont="1" applyFill="1" applyBorder="1" applyAlignment="1">
      <alignment horizontal="left" vertical="top" wrapText="1"/>
    </xf>
    <xf numFmtId="0" fontId="21" fillId="4" borderId="75" xfId="0" applyFont="1" applyFill="1" applyBorder="1" applyAlignment="1">
      <alignment horizontal="center" vertical="top"/>
    </xf>
    <xf numFmtId="0" fontId="21" fillId="4" borderId="75" xfId="0" applyFont="1" applyFill="1" applyBorder="1" applyAlignment="1">
      <alignment horizontal="center" vertical="center"/>
    </xf>
    <xf numFmtId="1" fontId="21" fillId="0" borderId="75" xfId="0" applyNumberFormat="1" applyFont="1" applyBorder="1" applyAlignment="1">
      <alignment horizontal="center" vertical="top" wrapText="1"/>
    </xf>
    <xf numFmtId="166" fontId="21" fillId="0" borderId="75" xfId="0" applyNumberFormat="1" applyFont="1" applyBorder="1" applyAlignment="1">
      <alignment horizontal="center" vertical="top" wrapText="1"/>
    </xf>
    <xf numFmtId="0" fontId="21" fillId="0" borderId="101" xfId="0" applyFont="1" applyFill="1" applyBorder="1" applyAlignment="1">
      <alignment vertical="top" wrapText="1"/>
    </xf>
    <xf numFmtId="0" fontId="56" fillId="0" borderId="75" xfId="0" applyFont="1" applyBorder="1" applyAlignment="1">
      <alignment horizontal="center" vertical="center"/>
    </xf>
    <xf numFmtId="0" fontId="56" fillId="0" borderId="75" xfId="0" applyFont="1" applyBorder="1" applyAlignment="1">
      <alignment horizontal="center" vertical="top"/>
    </xf>
    <xf numFmtId="1" fontId="21" fillId="0" borderId="75" xfId="0" applyNumberFormat="1" applyFont="1" applyFill="1" applyBorder="1" applyAlignment="1">
      <alignment horizontal="center" vertical="top"/>
    </xf>
    <xf numFmtId="166" fontId="21" fillId="4" borderId="75" xfId="0" applyNumberFormat="1" applyFont="1" applyFill="1" applyBorder="1" applyAlignment="1">
      <alignment vertical="top" wrapText="1"/>
    </xf>
    <xf numFmtId="1" fontId="21" fillId="4" borderId="75" xfId="0" applyNumberFormat="1" applyFont="1" applyFill="1" applyBorder="1" applyAlignment="1">
      <alignment horizontal="center" vertical="center" wrapText="1"/>
    </xf>
    <xf numFmtId="1" fontId="21" fillId="4" borderId="75" xfId="0" applyNumberFormat="1" applyFont="1" applyFill="1" applyBorder="1" applyAlignment="1">
      <alignment horizontal="center" vertical="top" wrapText="1"/>
    </xf>
    <xf numFmtId="0" fontId="21" fillId="7" borderId="75" xfId="0" applyFont="1" applyFill="1" applyBorder="1" applyAlignment="1">
      <alignment horizontal="center" vertical="center"/>
    </xf>
    <xf numFmtId="1" fontId="22" fillId="0" borderId="75" xfId="0" applyNumberFormat="1" applyFont="1" applyFill="1" applyBorder="1" applyAlignment="1">
      <alignment horizontal="center" vertical="top" wrapText="1"/>
    </xf>
    <xf numFmtId="1" fontId="21" fillId="0" borderId="75" xfId="0" applyNumberFormat="1" applyFont="1" applyFill="1" applyBorder="1" applyAlignment="1">
      <alignment horizontal="center" vertical="top" wrapText="1"/>
    </xf>
    <xf numFmtId="0" fontId="21" fillId="0" borderId="75" xfId="0" applyFont="1" applyFill="1" applyBorder="1" applyAlignment="1">
      <alignment horizontal="center"/>
    </xf>
    <xf numFmtId="0" fontId="21" fillId="0" borderId="75" xfId="0" applyFont="1" applyFill="1" applyBorder="1" applyAlignment="1">
      <alignment horizontal="center" wrapText="1"/>
    </xf>
    <xf numFmtId="0" fontId="21" fillId="0" borderId="102" xfId="0" applyFont="1" applyFill="1" applyBorder="1" applyAlignment="1">
      <alignment horizontal="center" wrapText="1"/>
    </xf>
    <xf numFmtId="0" fontId="22" fillId="0" borderId="75" xfId="0" applyFont="1" applyFill="1" applyBorder="1" applyAlignment="1">
      <alignment horizontal="center" wrapText="1"/>
    </xf>
    <xf numFmtId="0" fontId="22" fillId="0" borderId="102" xfId="0" applyFont="1" applyFill="1" applyBorder="1" applyAlignment="1">
      <alignment horizontal="center" wrapText="1"/>
    </xf>
    <xf numFmtId="165" fontId="21" fillId="0" borderId="75" xfId="0" applyNumberFormat="1" applyFont="1" applyFill="1" applyBorder="1" applyAlignment="1">
      <alignment horizontal="center" wrapText="1"/>
    </xf>
    <xf numFmtId="165" fontId="21" fillId="0" borderId="102" xfId="0" applyNumberFormat="1" applyFont="1" applyFill="1" applyBorder="1" applyAlignment="1">
      <alignment horizontal="center" wrapText="1"/>
    </xf>
    <xf numFmtId="0" fontId="56" fillId="0" borderId="75" xfId="0" applyFont="1" applyFill="1" applyBorder="1" applyAlignment="1">
      <alignment horizontal="center"/>
    </xf>
    <xf numFmtId="0" fontId="21" fillId="0" borderId="75" xfId="0" quotePrefix="1" applyFont="1" applyFill="1" applyBorder="1" applyAlignment="1">
      <alignment horizontal="center"/>
    </xf>
    <xf numFmtId="0" fontId="21" fillId="0" borderId="102" xfId="0" quotePrefix="1" applyFont="1" applyFill="1" applyBorder="1" applyAlignment="1">
      <alignment horizontal="center"/>
    </xf>
    <xf numFmtId="0" fontId="56" fillId="0" borderId="75" xfId="0" applyFont="1" applyFill="1" applyBorder="1" applyAlignment="1">
      <alignment horizontal="center" wrapText="1"/>
    </xf>
    <xf numFmtId="166" fontId="21" fillId="6" borderId="75" xfId="0" applyNumberFormat="1" applyFont="1" applyFill="1" applyBorder="1" applyAlignment="1">
      <alignment horizontal="left" vertical="top" wrapText="1"/>
    </xf>
    <xf numFmtId="0" fontId="22" fillId="4" borderId="75" xfId="0" applyFont="1" applyFill="1" applyBorder="1" applyAlignment="1">
      <alignment horizontal="center"/>
    </xf>
    <xf numFmtId="0" fontId="22" fillId="4" borderId="75" xfId="0" applyFont="1" applyFill="1" applyBorder="1" applyAlignment="1">
      <alignment horizontal="center" wrapText="1"/>
    </xf>
    <xf numFmtId="0" fontId="22" fillId="4" borderId="102" xfId="0" applyFont="1" applyFill="1" applyBorder="1" applyAlignment="1">
      <alignment horizontal="center" wrapText="1"/>
    </xf>
    <xf numFmtId="0" fontId="22" fillId="6" borderId="75" xfId="0" applyFont="1" applyFill="1" applyBorder="1" applyAlignment="1">
      <alignment horizontal="center" wrapText="1"/>
    </xf>
    <xf numFmtId="0" fontId="22" fillId="8" borderId="75" xfId="0" applyFont="1" applyFill="1" applyBorder="1" applyAlignment="1">
      <alignment horizontal="center" vertical="center" wrapText="1"/>
    </xf>
    <xf numFmtId="0" fontId="22" fillId="5" borderId="102" xfId="0" applyFont="1" applyFill="1" applyBorder="1" applyAlignment="1">
      <alignment horizontal="center" vertical="center" wrapText="1"/>
    </xf>
    <xf numFmtId="166" fontId="22" fillId="6" borderId="75" xfId="0" applyNumberFormat="1" applyFont="1" applyFill="1" applyBorder="1" applyAlignment="1">
      <alignment horizontal="center" vertical="top" wrapText="1"/>
    </xf>
    <xf numFmtId="0" fontId="22" fillId="6" borderId="75" xfId="0" applyFont="1" applyFill="1" applyBorder="1" applyAlignment="1">
      <alignment horizontal="center" vertical="center" wrapText="1"/>
    </xf>
    <xf numFmtId="0" fontId="21" fillId="6" borderId="75" xfId="0" applyFont="1" applyFill="1" applyBorder="1" applyAlignment="1">
      <alignment horizontal="center" vertical="center" wrapText="1"/>
    </xf>
    <xf numFmtId="0" fontId="22" fillId="6" borderId="75" xfId="0" applyFont="1" applyFill="1" applyBorder="1" applyAlignment="1">
      <alignment horizontal="center"/>
    </xf>
    <xf numFmtId="1" fontId="21" fillId="0" borderId="103" xfId="0" applyNumberFormat="1" applyFont="1" applyFill="1" applyBorder="1" applyAlignment="1">
      <alignment vertical="top" wrapText="1"/>
    </xf>
    <xf numFmtId="0" fontId="22" fillId="5" borderId="104" xfId="0" applyFont="1" applyFill="1" applyBorder="1" applyAlignment="1">
      <alignment horizontal="center" vertical="top" wrapText="1"/>
    </xf>
    <xf numFmtId="0" fontId="22" fillId="5" borderId="104" xfId="0" applyFont="1" applyFill="1" applyBorder="1" applyAlignment="1">
      <alignment horizontal="center" vertical="center" wrapText="1"/>
    </xf>
    <xf numFmtId="166" fontId="22" fillId="5" borderId="104" xfId="0" applyNumberFormat="1" applyFont="1" applyFill="1" applyBorder="1" applyAlignment="1">
      <alignment horizontal="center" vertical="center" wrapText="1"/>
    </xf>
    <xf numFmtId="0" fontId="21" fillId="0" borderId="105" xfId="0" applyFont="1" applyFill="1" applyBorder="1" applyAlignment="1">
      <alignment horizontal="center" vertical="top"/>
    </xf>
    <xf numFmtId="165" fontId="21" fillId="0" borderId="75" xfId="0" applyNumberFormat="1" applyFont="1" applyFill="1" applyBorder="1" applyAlignment="1"/>
    <xf numFmtId="165" fontId="21" fillId="0" borderId="102" xfId="0" applyNumberFormat="1" applyFont="1" applyFill="1" applyBorder="1" applyAlignment="1"/>
    <xf numFmtId="0" fontId="0" fillId="0" borderId="107" xfId="0" applyBorder="1"/>
    <xf numFmtId="0" fontId="2" fillId="0" borderId="0" xfId="0" applyFont="1" applyBorder="1" applyAlignment="1">
      <alignment vertical="top"/>
    </xf>
    <xf numFmtId="164" fontId="22" fillId="0" borderId="69" xfId="1" applyNumberFormat="1" applyFont="1" applyBorder="1" applyAlignment="1">
      <alignment horizontal="center" vertical="center" wrapText="1"/>
    </xf>
    <xf numFmtId="49" fontId="29" fillId="0" borderId="75" xfId="1" quotePrefix="1" applyNumberFormat="1" applyFont="1" applyFill="1" applyBorder="1" applyAlignment="1">
      <alignment horizontal="center" vertical="center" wrapText="1"/>
    </xf>
    <xf numFmtId="164" fontId="22" fillId="0" borderId="108" xfId="1" applyNumberFormat="1" applyFont="1" applyBorder="1" applyAlignment="1">
      <alignment horizontal="center" vertical="center" wrapText="1"/>
    </xf>
    <xf numFmtId="164" fontId="41" fillId="0" borderId="58" xfId="1" applyNumberFormat="1" applyFont="1" applyBorder="1" applyAlignment="1">
      <alignment horizontal="left" vertical="center" wrapText="1"/>
    </xf>
    <xf numFmtId="164" fontId="21" fillId="0" borderId="58" xfId="1" applyNumberFormat="1" applyFont="1" applyBorder="1" applyAlignment="1">
      <alignment horizontal="left" vertical="center" wrapText="1"/>
    </xf>
    <xf numFmtId="164" fontId="22" fillId="0" borderId="58" xfId="1" applyNumberFormat="1" applyFont="1" applyBorder="1" applyAlignment="1">
      <alignment horizontal="center" vertical="center" wrapText="1"/>
    </xf>
    <xf numFmtId="164" fontId="22" fillId="0" borderId="109" xfId="1" applyNumberFormat="1" applyFont="1" applyBorder="1" applyAlignment="1">
      <alignment horizontal="center" vertical="center" wrapText="1"/>
    </xf>
    <xf numFmtId="164" fontId="41" fillId="0" borderId="55" xfId="1" applyNumberFormat="1" applyFont="1" applyBorder="1" applyAlignment="1">
      <alignment horizontal="left" vertical="center" wrapText="1"/>
    </xf>
    <xf numFmtId="164" fontId="21" fillId="0" borderId="55" xfId="1" applyNumberFormat="1" applyFont="1" applyBorder="1" applyAlignment="1">
      <alignment horizontal="left" vertical="center" wrapText="1"/>
    </xf>
    <xf numFmtId="164" fontId="22" fillId="0" borderId="55" xfId="1" applyNumberFormat="1" applyFont="1" applyBorder="1" applyAlignment="1">
      <alignment horizontal="center" vertical="center" wrapText="1"/>
    </xf>
    <xf numFmtId="0" fontId="22" fillId="0" borderId="110" xfId="0" applyFont="1" applyBorder="1" applyAlignment="1">
      <alignment horizontal="center" vertical="center" wrapText="1"/>
    </xf>
    <xf numFmtId="0" fontId="7" fillId="0" borderId="23" xfId="0" applyFont="1" applyBorder="1" applyAlignment="1">
      <alignment horizontal="left" vertical="top"/>
    </xf>
    <xf numFmtId="0" fontId="5" fillId="0" borderId="23" xfId="0" applyFont="1" applyBorder="1" applyAlignment="1">
      <alignment horizontal="left" vertical="top"/>
    </xf>
    <xf numFmtId="0" fontId="33" fillId="0" borderId="112" xfId="0" applyFont="1" applyBorder="1" applyAlignment="1">
      <alignment horizontal="center" vertical="center" wrapText="1"/>
    </xf>
    <xf numFmtId="0" fontId="21" fillId="0" borderId="112" xfId="0" applyFont="1" applyBorder="1" applyAlignment="1">
      <alignment horizontal="center" vertical="center" wrapText="1"/>
    </xf>
    <xf numFmtId="0" fontId="22" fillId="0" borderId="112" xfId="0" applyFont="1" applyBorder="1" applyAlignment="1">
      <alignment vertical="center"/>
    </xf>
    <xf numFmtId="166" fontId="22" fillId="0" borderId="112" xfId="0" applyNumberFormat="1" applyFont="1" applyBorder="1" applyAlignment="1">
      <alignment vertical="center"/>
    </xf>
    <xf numFmtId="0" fontId="21" fillId="0" borderId="113" xfId="0" applyFont="1" applyBorder="1" applyAlignment="1">
      <alignment vertical="center"/>
    </xf>
    <xf numFmtId="0" fontId="22" fillId="0" borderId="114" xfId="0" applyFont="1" applyBorder="1" applyAlignment="1">
      <alignment horizontal="center" vertical="center" wrapText="1"/>
    </xf>
    <xf numFmtId="0" fontId="22" fillId="0" borderId="115" xfId="0" applyFont="1" applyBorder="1" applyAlignment="1">
      <alignment horizontal="justify" vertical="center" wrapText="1"/>
    </xf>
    <xf numFmtId="0" fontId="22" fillId="0" borderId="115" xfId="0" applyFont="1" applyBorder="1" applyAlignment="1">
      <alignment horizontal="center" vertical="center" wrapText="1"/>
    </xf>
    <xf numFmtId="0" fontId="22" fillId="0" borderId="115" xfId="0" applyFont="1" applyBorder="1" applyAlignment="1">
      <alignment vertical="center"/>
    </xf>
    <xf numFmtId="0" fontId="22" fillId="0" borderId="116" xfId="0" applyFont="1" applyBorder="1" applyAlignment="1">
      <alignment vertical="center"/>
    </xf>
    <xf numFmtId="0" fontId="7" fillId="0" borderId="117" xfId="0" applyFont="1" applyBorder="1" applyAlignment="1">
      <alignment horizontal="justify" vertical="top" wrapText="1"/>
    </xf>
    <xf numFmtId="0" fontId="7" fillId="0" borderId="117" xfId="0" applyFont="1" applyBorder="1" applyAlignment="1">
      <alignment horizontal="center" vertical="top" wrapText="1"/>
    </xf>
    <xf numFmtId="0" fontId="7" fillId="0" borderId="117" xfId="0" applyFont="1" applyBorder="1" applyAlignment="1">
      <alignment vertical="top"/>
    </xf>
    <xf numFmtId="0" fontId="5" fillId="0" borderId="118" xfId="0" applyFont="1" applyBorder="1" applyAlignment="1">
      <alignment horizontal="left" vertical="top" wrapText="1"/>
    </xf>
    <xf numFmtId="0" fontId="7" fillId="0" borderId="100" xfId="0" applyFont="1" applyBorder="1" applyAlignment="1">
      <alignment horizontal="justify" vertical="top" wrapText="1"/>
    </xf>
    <xf numFmtId="0" fontId="7" fillId="0" borderId="100" xfId="0" applyFont="1" applyBorder="1" applyAlignment="1">
      <alignment horizontal="center" vertical="top" wrapText="1"/>
    </xf>
    <xf numFmtId="0" fontId="7" fillId="0" borderId="100" xfId="0" applyFont="1" applyBorder="1" applyAlignment="1">
      <alignment vertical="top"/>
    </xf>
    <xf numFmtId="0" fontId="5" fillId="0" borderId="119" xfId="0" applyFont="1" applyBorder="1" applyAlignment="1">
      <alignment horizontal="left" vertical="top" wrapText="1"/>
    </xf>
    <xf numFmtId="0" fontId="7" fillId="2" borderId="100" xfId="0" applyFont="1" applyFill="1" applyBorder="1" applyAlignment="1">
      <alignment horizontal="justify" vertical="top" wrapText="1"/>
    </xf>
    <xf numFmtId="0" fontId="5" fillId="2" borderId="119" xfId="0" applyFont="1" applyFill="1" applyBorder="1" applyAlignment="1">
      <alignment horizontal="left" vertical="top"/>
    </xf>
    <xf numFmtId="0" fontId="5" fillId="3" borderId="119" xfId="0" applyFont="1" applyFill="1" applyBorder="1" applyAlignment="1">
      <alignment horizontal="left" vertical="top" wrapText="1"/>
    </xf>
    <xf numFmtId="0" fontId="7" fillId="3" borderId="100" xfId="0" applyFont="1" applyFill="1" applyBorder="1" applyAlignment="1">
      <alignment horizontal="justify" vertical="top" wrapText="1"/>
    </xf>
    <xf numFmtId="0" fontId="5" fillId="0" borderId="100" xfId="0" applyFont="1" applyBorder="1" applyAlignment="1">
      <alignment horizontal="center" vertical="top"/>
    </xf>
    <xf numFmtId="0" fontId="5" fillId="3" borderId="119" xfId="0" applyFont="1" applyFill="1" applyBorder="1" applyAlignment="1">
      <alignment horizontal="left" vertical="top"/>
    </xf>
    <xf numFmtId="0" fontId="5" fillId="0" borderId="119" xfId="0" applyFont="1" applyBorder="1" applyAlignment="1">
      <alignment horizontal="left" vertical="top"/>
    </xf>
    <xf numFmtId="0" fontId="7" fillId="0" borderId="119" xfId="0" applyFont="1" applyBorder="1" applyAlignment="1">
      <alignment horizontal="left" vertical="top"/>
    </xf>
    <xf numFmtId="0" fontId="5" fillId="0" borderId="100" xfId="0" applyFont="1" applyBorder="1" applyAlignment="1">
      <alignment horizontal="justify" vertical="top" wrapText="1"/>
    </xf>
    <xf numFmtId="0" fontId="5" fillId="0" borderId="100" xfId="0" applyFont="1" applyBorder="1" applyAlignment="1">
      <alignment horizontal="center" vertical="top" wrapText="1"/>
    </xf>
    <xf numFmtId="0" fontId="2" fillId="0" borderId="120" xfId="0" applyFont="1" applyBorder="1" applyAlignment="1">
      <alignment vertical="top"/>
    </xf>
    <xf numFmtId="0" fontId="2" fillId="0" borderId="121" xfId="0" applyFont="1" applyBorder="1" applyAlignment="1">
      <alignment horizontal="center" vertical="top"/>
    </xf>
    <xf numFmtId="0" fontId="5" fillId="0" borderId="117" xfId="0" applyFont="1" applyBorder="1" applyAlignment="1">
      <alignment horizontal="justify" vertical="top" wrapText="1"/>
    </xf>
    <xf numFmtId="0" fontId="7" fillId="0" borderId="118" xfId="0" applyFont="1" applyBorder="1" applyAlignment="1">
      <alignment horizontal="left" vertical="top"/>
    </xf>
    <xf numFmtId="0" fontId="7" fillId="0" borderId="122" xfId="0" applyFont="1" applyBorder="1" applyAlignment="1">
      <alignment horizontal="left" vertical="top" wrapText="1"/>
    </xf>
    <xf numFmtId="0" fontId="22" fillId="0" borderId="123" xfId="0" applyFont="1" applyBorder="1" applyAlignment="1">
      <alignment horizontal="center" vertical="center" wrapText="1"/>
    </xf>
    <xf numFmtId="0" fontId="5" fillId="0" borderId="124" xfId="0" applyFont="1" applyBorder="1" applyAlignment="1">
      <alignment horizontal="center" vertical="top"/>
    </xf>
    <xf numFmtId="0" fontId="7" fillId="0" borderId="109" xfId="0" applyFont="1" applyBorder="1" applyAlignment="1">
      <alignment horizontal="left" vertical="top"/>
    </xf>
    <xf numFmtId="0" fontId="5" fillId="0" borderId="23" xfId="0" applyFont="1" applyBorder="1" applyAlignment="1">
      <alignment horizontal="left" vertical="top" wrapText="1"/>
    </xf>
    <xf numFmtId="0" fontId="7" fillId="0" borderId="23" xfId="0" applyFont="1" applyBorder="1" applyAlignment="1">
      <alignment horizontal="left" vertical="top" wrapText="1"/>
    </xf>
    <xf numFmtId="0" fontId="5" fillId="0" borderId="125" xfId="0" applyFont="1" applyBorder="1" applyAlignment="1">
      <alignment horizontal="center" vertical="top"/>
    </xf>
    <xf numFmtId="0" fontId="6" fillId="0" borderId="101" xfId="0" applyFont="1" applyBorder="1" applyAlignment="1">
      <alignment horizontal="center" vertical="center"/>
    </xf>
    <xf numFmtId="0" fontId="6" fillId="0" borderId="75" xfId="0" applyFont="1" applyBorder="1" applyAlignment="1">
      <alignment horizontal="left" vertical="center"/>
    </xf>
    <xf numFmtId="0" fontId="5" fillId="0" borderId="102" xfId="0" applyFont="1" applyBorder="1" applyAlignment="1">
      <alignment horizontal="center" vertical="center"/>
    </xf>
    <xf numFmtId="0" fontId="6" fillId="0" borderId="102" xfId="0" applyFont="1" applyBorder="1" applyAlignment="1">
      <alignment horizontal="center" vertical="center"/>
    </xf>
    <xf numFmtId="41" fontId="13" fillId="0" borderId="75" xfId="0" applyNumberFormat="1" applyFont="1" applyBorder="1" applyAlignment="1">
      <alignment horizontal="right" vertical="center" wrapText="1"/>
    </xf>
    <xf numFmtId="41" fontId="12" fillId="0" borderId="75" xfId="0" applyNumberFormat="1" applyFont="1" applyBorder="1" applyAlignment="1">
      <alignment horizontal="right" vertical="center" wrapText="1"/>
    </xf>
    <xf numFmtId="41" fontId="12" fillId="0" borderId="75" xfId="2" applyFont="1" applyFill="1" applyBorder="1" applyAlignment="1">
      <alignment horizontal="right" vertical="center" wrapText="1"/>
    </xf>
    <xf numFmtId="41" fontId="12" fillId="0" borderId="75" xfId="2" applyFont="1" applyBorder="1" applyAlignment="1">
      <alignment horizontal="right" vertical="center" wrapText="1"/>
    </xf>
    <xf numFmtId="0" fontId="6" fillId="0" borderId="101" xfId="0" applyFont="1" applyBorder="1" applyAlignment="1">
      <alignment horizontal="center" vertical="top" wrapText="1"/>
    </xf>
    <xf numFmtId="3" fontId="13" fillId="0" borderId="75" xfId="0" applyNumberFormat="1" applyFont="1" applyBorder="1" applyAlignment="1">
      <alignment horizontal="right" vertical="center" wrapText="1"/>
    </xf>
    <xf numFmtId="0" fontId="5" fillId="0" borderId="101" xfId="0" applyFont="1" applyBorder="1" applyAlignment="1">
      <alignment horizontal="center" vertical="center" wrapText="1" shrinkToFit="1"/>
    </xf>
    <xf numFmtId="0" fontId="21" fillId="0" borderId="75" xfId="0" applyFont="1" applyBorder="1" applyAlignment="1">
      <alignment horizontal="justify" vertical="center" wrapText="1" shrinkToFit="1"/>
    </xf>
    <xf numFmtId="0" fontId="21" fillId="0" borderId="75" xfId="0" applyFont="1" applyBorder="1" applyAlignment="1">
      <alignment horizontal="center" vertical="center" wrapText="1" shrinkToFit="1"/>
    </xf>
    <xf numFmtId="41" fontId="27" fillId="0" borderId="75" xfId="2" applyFont="1" applyBorder="1" applyAlignment="1">
      <alignment horizontal="right" vertical="center" wrapText="1" shrinkToFit="1"/>
    </xf>
    <xf numFmtId="0" fontId="21" fillId="0" borderId="102" xfId="0" applyFont="1" applyBorder="1" applyAlignment="1">
      <alignment horizontal="center" vertical="center"/>
    </xf>
    <xf numFmtId="0" fontId="5" fillId="0" borderId="106" xfId="0" applyFont="1" applyBorder="1" applyAlignment="1">
      <alignment horizontal="center" vertical="top"/>
    </xf>
    <xf numFmtId="3" fontId="27" fillId="0" borderId="75" xfId="0" applyNumberFormat="1" applyFont="1" applyBorder="1" applyAlignment="1">
      <alignment horizontal="right"/>
    </xf>
    <xf numFmtId="0" fontId="6" fillId="0" borderId="101" xfId="0" applyFont="1" applyFill="1" applyBorder="1" applyAlignment="1">
      <alignment horizontal="center" vertical="top" wrapText="1"/>
    </xf>
    <xf numFmtId="0" fontId="6" fillId="0" borderId="75" xfId="0" applyFont="1" applyFill="1" applyBorder="1" applyAlignment="1">
      <alignment horizontal="justify" vertical="top" wrapText="1"/>
    </xf>
    <xf numFmtId="0" fontId="6" fillId="0" borderId="75" xfId="0" applyFont="1" applyFill="1" applyBorder="1" applyAlignment="1">
      <alignment horizontal="center" vertical="center" wrapText="1"/>
    </xf>
    <xf numFmtId="0" fontId="6" fillId="0" borderId="75" xfId="0" applyFont="1" applyFill="1" applyBorder="1" applyAlignment="1">
      <alignment horizontal="center" vertical="top" wrapText="1"/>
    </xf>
    <xf numFmtId="0" fontId="5" fillId="0" borderId="75" xfId="0" applyFont="1" applyFill="1" applyBorder="1" applyAlignment="1">
      <alignment horizontal="center" vertical="top" wrapText="1"/>
    </xf>
    <xf numFmtId="0" fontId="5" fillId="0" borderId="101" xfId="0" applyFont="1" applyFill="1" applyBorder="1" applyAlignment="1">
      <alignment horizontal="center" vertical="top" wrapText="1"/>
    </xf>
    <xf numFmtId="0" fontId="5" fillId="0" borderId="75" xfId="0" applyFont="1" applyFill="1" applyBorder="1" applyAlignment="1">
      <alignment vertical="center"/>
    </xf>
    <xf numFmtId="167" fontId="12" fillId="4" borderId="75" xfId="1" applyNumberFormat="1" applyFont="1" applyFill="1" applyBorder="1" applyAlignment="1">
      <alignment vertical="center"/>
    </xf>
    <xf numFmtId="3" fontId="1" fillId="0" borderId="0" xfId="0" applyNumberFormat="1" applyFont="1" applyBorder="1" applyAlignment="1">
      <alignment vertical="top"/>
    </xf>
    <xf numFmtId="0" fontId="5" fillId="0" borderId="75" xfId="0" applyFont="1" applyFill="1" applyBorder="1" applyAlignment="1">
      <alignment horizontal="justify" vertical="center" wrapText="1"/>
    </xf>
    <xf numFmtId="3" fontId="12" fillId="0" borderId="75" xfId="0" applyNumberFormat="1" applyFont="1" applyFill="1" applyBorder="1" applyAlignment="1">
      <alignment horizontal="right" vertical="top" wrapText="1"/>
    </xf>
    <xf numFmtId="164" fontId="12" fillId="0" borderId="75" xfId="3" applyNumberFormat="1" applyFont="1" applyFill="1" applyBorder="1" applyAlignment="1">
      <alignment horizontal="right" vertical="top" wrapText="1"/>
    </xf>
    <xf numFmtId="3" fontId="12" fillId="0" borderId="75" xfId="0" applyNumberFormat="1" applyFont="1" applyBorder="1" applyAlignment="1">
      <alignment horizontal="right" vertical="center"/>
    </xf>
    <xf numFmtId="3" fontId="12" fillId="0" borderId="75" xfId="2" applyNumberFormat="1" applyFont="1" applyBorder="1" applyAlignment="1">
      <alignment horizontal="right" vertical="center" wrapText="1"/>
    </xf>
    <xf numFmtId="0" fontId="6" fillId="0" borderId="127" xfId="0" applyFont="1" applyBorder="1" applyAlignment="1">
      <alignment horizontal="center" vertical="top" wrapText="1"/>
    </xf>
    <xf numFmtId="0" fontId="6" fillId="0" borderId="128" xfId="0" applyFont="1" applyBorder="1" applyAlignment="1">
      <alignment horizontal="center" vertical="top" wrapText="1"/>
    </xf>
    <xf numFmtId="0" fontId="0" fillId="0" borderId="128" xfId="0" applyFont="1" applyBorder="1" applyAlignment="1">
      <alignment vertical="top"/>
    </xf>
    <xf numFmtId="3" fontId="13" fillId="0" borderId="128" xfId="0" applyNumberFormat="1" applyFont="1" applyBorder="1" applyAlignment="1">
      <alignment horizontal="center" vertical="center" wrapText="1"/>
    </xf>
    <xf numFmtId="0" fontId="5" fillId="0" borderId="129" xfId="0" applyFont="1" applyBorder="1" applyAlignment="1">
      <alignment horizontal="center" vertical="center"/>
    </xf>
    <xf numFmtId="164" fontId="6" fillId="0" borderId="10" xfId="1" applyNumberFormat="1" applyFont="1" applyBorder="1" applyAlignment="1">
      <alignment horizontal="center" vertical="center" wrapText="1"/>
    </xf>
    <xf numFmtId="164" fontId="6" fillId="0" borderId="11" xfId="1" applyNumberFormat="1" applyFont="1" applyBorder="1" applyAlignment="1">
      <alignment horizontal="center" vertical="center" wrapText="1"/>
    </xf>
    <xf numFmtId="164" fontId="6" fillId="0" borderId="12" xfId="1" applyNumberFormat="1" applyFont="1" applyBorder="1" applyAlignment="1">
      <alignment horizontal="center" vertical="center" wrapText="1"/>
    </xf>
    <xf numFmtId="0" fontId="5" fillId="0" borderId="101" xfId="0" applyFont="1" applyBorder="1" applyAlignment="1">
      <alignment horizontal="center" vertical="center"/>
    </xf>
    <xf numFmtId="0" fontId="6" fillId="0" borderId="75" xfId="0" applyFont="1" applyBorder="1" applyAlignment="1">
      <alignment vertical="center"/>
    </xf>
    <xf numFmtId="0" fontId="0" fillId="0" borderId="75" xfId="0" applyFont="1" applyBorder="1" applyAlignment="1">
      <alignment vertical="center"/>
    </xf>
    <xf numFmtId="164" fontId="5" fillId="0" borderId="75" xfId="1" applyNumberFormat="1" applyFont="1" applyBorder="1" applyAlignment="1">
      <alignment horizontal="center" vertical="center" wrapText="1"/>
    </xf>
    <xf numFmtId="164" fontId="6" fillId="0" borderId="75" xfId="1" applyNumberFormat="1" applyFont="1" applyBorder="1" applyAlignment="1">
      <alignment horizontal="center" vertical="center" wrapText="1"/>
    </xf>
    <xf numFmtId="164" fontId="5" fillId="0" borderId="102" xfId="1" applyNumberFormat="1" applyFont="1" applyBorder="1" applyAlignment="1">
      <alignment vertical="center" wrapText="1"/>
    </xf>
    <xf numFmtId="164" fontId="5" fillId="0" borderId="75" xfId="1" applyNumberFormat="1" applyFont="1" applyBorder="1" applyAlignment="1">
      <alignment horizontal="left" vertical="center" wrapText="1"/>
    </xf>
    <xf numFmtId="164" fontId="5" fillId="0" borderId="102" xfId="1" applyNumberFormat="1" applyFont="1" applyBorder="1" applyAlignment="1">
      <alignment horizontal="center" vertical="center" wrapText="1"/>
    </xf>
    <xf numFmtId="0" fontId="5" fillId="0" borderId="75" xfId="0" applyFont="1" applyBorder="1" applyAlignment="1">
      <alignment vertical="center"/>
    </xf>
    <xf numFmtId="49" fontId="5" fillId="0" borderId="75" xfId="3" applyNumberFormat="1" applyFont="1" applyBorder="1" applyAlignment="1">
      <alignment horizontal="center" vertical="center" wrapText="1"/>
    </xf>
    <xf numFmtId="164" fontId="5" fillId="0" borderId="102" xfId="3" applyNumberFormat="1" applyFont="1" applyBorder="1" applyAlignment="1">
      <alignment horizontal="center" vertical="center" wrapText="1"/>
    </xf>
    <xf numFmtId="0" fontId="5" fillId="0" borderId="101" xfId="5" applyFont="1" applyBorder="1" applyAlignment="1">
      <alignment horizontal="center" vertical="center"/>
    </xf>
    <xf numFmtId="3" fontId="5" fillId="0" borderId="75" xfId="5" applyNumberFormat="1" applyFont="1" applyBorder="1" applyAlignment="1">
      <alignment horizontal="center" vertical="center"/>
    </xf>
    <xf numFmtId="0" fontId="0" fillId="0" borderId="75" xfId="0" applyFont="1" applyBorder="1" applyAlignment="1">
      <alignment vertical="center" wrapText="1"/>
    </xf>
    <xf numFmtId="3" fontId="6" fillId="0" borderId="75" xfId="0" applyNumberFormat="1" applyFont="1" applyBorder="1" applyAlignment="1">
      <alignment horizontal="center" vertical="center" wrapText="1"/>
    </xf>
    <xf numFmtId="0" fontId="0" fillId="0" borderId="102" xfId="0" applyFont="1" applyBorder="1" applyAlignment="1">
      <alignment vertical="center"/>
    </xf>
    <xf numFmtId="0" fontId="5" fillId="0" borderId="102" xfId="0" applyFont="1" applyBorder="1" applyAlignment="1">
      <alignment vertical="center"/>
    </xf>
    <xf numFmtId="0" fontId="5" fillId="0" borderId="102" xfId="0" applyFont="1" applyBorder="1" applyAlignment="1">
      <alignment vertical="center" wrapText="1"/>
    </xf>
    <xf numFmtId="0" fontId="2" fillId="0" borderId="101" xfId="0" applyFont="1" applyBorder="1" applyAlignment="1">
      <alignment vertical="center"/>
    </xf>
    <xf numFmtId="0" fontId="2" fillId="0" borderId="75" xfId="0" applyFont="1" applyBorder="1" applyAlignment="1">
      <alignment horizontal="center" vertical="center"/>
    </xf>
    <xf numFmtId="0" fontId="5" fillId="0" borderId="104" xfId="0" applyFont="1" applyBorder="1" applyAlignment="1">
      <alignment horizontal="justify" vertical="center" wrapText="1"/>
    </xf>
    <xf numFmtId="164" fontId="5" fillId="0" borderId="104" xfId="0" applyNumberFormat="1" applyFont="1" applyBorder="1" applyAlignment="1">
      <alignment horizontal="center" vertical="center" wrapText="1"/>
    </xf>
    <xf numFmtId="164" fontId="6" fillId="0" borderId="104" xfId="0" applyNumberFormat="1" applyFont="1" applyBorder="1" applyAlignment="1">
      <alignment horizontal="center" vertical="center" wrapText="1"/>
    </xf>
    <xf numFmtId="0" fontId="5" fillId="0" borderId="105" xfId="0" applyFont="1" applyBorder="1" applyAlignment="1">
      <alignment vertical="center"/>
    </xf>
    <xf numFmtId="0" fontId="13" fillId="0" borderId="108" xfId="0" applyFont="1" applyBorder="1" applyAlignment="1">
      <alignment horizontal="center" vertical="top" wrapText="1"/>
    </xf>
    <xf numFmtId="0" fontId="13" fillId="0" borderId="58" xfId="0" applyFont="1" applyBorder="1" applyAlignment="1">
      <alignment horizontal="justify" vertical="top" wrapText="1"/>
    </xf>
    <xf numFmtId="0" fontId="13" fillId="0" borderId="109" xfId="0" applyFont="1" applyBorder="1" applyAlignment="1">
      <alignment vertical="top"/>
    </xf>
    <xf numFmtId="0" fontId="12" fillId="0" borderId="22" xfId="0" applyFont="1" applyBorder="1" applyAlignment="1">
      <alignment horizontal="center"/>
    </xf>
    <xf numFmtId="0" fontId="27" fillId="0" borderId="131" xfId="0" applyFont="1" applyBorder="1" applyAlignment="1">
      <alignment vertical="top"/>
    </xf>
    <xf numFmtId="0" fontId="13" fillId="0" borderId="103" xfId="0" applyFont="1" applyBorder="1" applyAlignment="1">
      <alignment horizontal="center" vertical="top" wrapText="1"/>
    </xf>
    <xf numFmtId="0" fontId="13" fillId="0" borderId="104" xfId="0" applyFont="1" applyBorder="1" applyAlignment="1">
      <alignment horizontal="justify" vertical="top" wrapText="1"/>
    </xf>
    <xf numFmtId="0" fontId="12" fillId="0" borderId="105" xfId="0" applyFont="1" applyBorder="1" applyAlignment="1">
      <alignment vertical="top"/>
    </xf>
    <xf numFmtId="0" fontId="14" fillId="0" borderId="10" xfId="5" applyFont="1" applyBorder="1" applyAlignment="1">
      <alignment horizontal="center" vertical="center"/>
    </xf>
    <xf numFmtId="0" fontId="14" fillId="0" borderId="11" xfId="5" applyFont="1" applyBorder="1" applyAlignment="1">
      <alignment horizontal="center" vertical="center" wrapText="1"/>
    </xf>
    <xf numFmtId="0" fontId="14" fillId="0" borderId="132" xfId="5" applyFont="1" applyBorder="1" applyAlignment="1">
      <alignment horizontal="center" vertical="center" wrapText="1"/>
    </xf>
    <xf numFmtId="0" fontId="14" fillId="0" borderId="12" xfId="5" applyFont="1" applyBorder="1" applyAlignment="1">
      <alignment horizontal="center" vertical="center" wrapText="1"/>
    </xf>
    <xf numFmtId="0" fontId="9" fillId="0" borderId="13" xfId="5" applyFont="1" applyBorder="1" applyAlignment="1">
      <alignment horizontal="center" vertical="center" wrapText="1"/>
    </xf>
    <xf numFmtId="0" fontId="9" fillId="0" borderId="14" xfId="5" applyFont="1" applyBorder="1" applyAlignment="1">
      <alignment horizontal="center" vertical="center" wrapText="1"/>
    </xf>
    <xf numFmtId="0" fontId="9" fillId="0" borderId="101" xfId="5" applyFont="1" applyBorder="1" applyAlignment="1">
      <alignment horizontal="center" vertical="center" wrapText="1"/>
    </xf>
    <xf numFmtId="0" fontId="9" fillId="0" borderId="102" xfId="5" quotePrefix="1" applyFont="1" applyBorder="1" applyAlignment="1">
      <alignment horizontal="center" vertical="center" wrapText="1"/>
    </xf>
    <xf numFmtId="0" fontId="9" fillId="0" borderId="103" xfId="5" applyFont="1" applyBorder="1" applyAlignment="1">
      <alignment horizontal="center" vertical="center" wrapText="1"/>
    </xf>
    <xf numFmtId="0" fontId="66" fillId="0" borderId="104" xfId="5" applyFont="1" applyBorder="1" applyAlignment="1">
      <alignment horizontal="center" vertical="center" wrapText="1"/>
    </xf>
    <xf numFmtId="0" fontId="9" fillId="0" borderId="104" xfId="5" applyFont="1" applyBorder="1" applyAlignment="1">
      <alignment horizontal="left" vertical="center" wrapText="1"/>
    </xf>
    <xf numFmtId="0" fontId="9" fillId="0" borderId="104" xfId="5" applyFont="1" applyBorder="1" applyAlignment="1">
      <alignment horizontal="center" vertical="center" wrapText="1"/>
    </xf>
    <xf numFmtId="0" fontId="9" fillId="0" borderId="104" xfId="5" applyFont="1" applyBorder="1" applyAlignment="1">
      <alignment vertical="center" wrapText="1"/>
    </xf>
    <xf numFmtId="0" fontId="9" fillId="0" borderId="105" xfId="5"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1" xfId="0" applyFont="1" applyBorder="1" applyAlignment="1">
      <alignment horizontal="center" vertical="center" wrapText="1"/>
    </xf>
    <xf numFmtId="41" fontId="24" fillId="0" borderId="11" xfId="2" applyFont="1" applyBorder="1" applyAlignment="1">
      <alignment horizontal="center" vertical="center" wrapText="1"/>
    </xf>
    <xf numFmtId="0" fontId="24" fillId="0" borderId="12" xfId="0" applyFont="1" applyBorder="1" applyAlignment="1">
      <alignment horizontal="center" vertical="center"/>
    </xf>
    <xf numFmtId="0" fontId="24" fillId="0" borderId="108" xfId="0" applyFont="1" applyBorder="1" applyAlignment="1">
      <alignment vertical="center"/>
    </xf>
    <xf numFmtId="0" fontId="24" fillId="0" borderId="58" xfId="0" applyFont="1" applyBorder="1" applyAlignment="1">
      <alignment vertical="center"/>
    </xf>
    <xf numFmtId="0" fontId="25" fillId="0" borderId="58" xfId="0" applyFont="1" applyBorder="1" applyAlignment="1">
      <alignment horizontal="center" vertical="center"/>
    </xf>
    <xf numFmtId="41" fontId="24" fillId="0" borderId="58" xfId="2" applyFont="1" applyBorder="1" applyAlignment="1">
      <alignment vertical="center"/>
    </xf>
    <xf numFmtId="0" fontId="24" fillId="0" borderId="109" xfId="0" applyFont="1" applyBorder="1" applyAlignment="1">
      <alignment vertical="center"/>
    </xf>
    <xf numFmtId="0" fontId="24" fillId="0" borderId="55" xfId="0" applyFont="1" applyBorder="1" applyAlignment="1">
      <alignment vertical="center"/>
    </xf>
    <xf numFmtId="164" fontId="24" fillId="0" borderId="55" xfId="1" applyNumberFormat="1" applyFont="1" applyBorder="1" applyAlignment="1">
      <alignment vertical="center"/>
    </xf>
    <xf numFmtId="0" fontId="24" fillId="0" borderId="23" xfId="0" applyFont="1" applyBorder="1" applyAlignment="1">
      <alignment vertical="center"/>
    </xf>
    <xf numFmtId="0" fontId="24" fillId="0" borderId="55" xfId="0" applyFont="1" applyBorder="1" applyAlignment="1">
      <alignment vertical="center" wrapText="1"/>
    </xf>
    <xf numFmtId="0" fontId="25" fillId="0" borderId="55" xfId="0" applyFont="1" applyBorder="1" applyAlignment="1">
      <alignment vertical="center"/>
    </xf>
    <xf numFmtId="41" fontId="25" fillId="0" borderId="0" xfId="2" applyFont="1" applyBorder="1" applyAlignment="1">
      <alignment vertical="center"/>
    </xf>
    <xf numFmtId="0" fontId="25" fillId="0" borderId="55" xfId="0" applyFont="1" applyBorder="1" applyAlignment="1">
      <alignment vertical="center" wrapText="1"/>
    </xf>
    <xf numFmtId="0" fontId="25" fillId="0" borderId="55" xfId="0" applyFont="1" applyFill="1" applyBorder="1" applyAlignment="1">
      <alignment horizontal="center" vertical="center" wrapText="1"/>
    </xf>
    <xf numFmtId="164" fontId="25" fillId="0" borderId="55" xfId="1" applyNumberFormat="1" applyFont="1" applyBorder="1" applyAlignment="1">
      <alignment vertical="center"/>
    </xf>
    <xf numFmtId="0" fontId="55" fillId="0" borderId="23" xfId="0" applyFont="1" applyBorder="1" applyAlignment="1">
      <alignment vertical="center" wrapText="1"/>
    </xf>
    <xf numFmtId="0" fontId="25" fillId="4" borderId="55" xfId="0" applyFont="1" applyFill="1" applyBorder="1" applyAlignment="1">
      <alignment vertical="center"/>
    </xf>
    <xf numFmtId="0" fontId="25" fillId="0" borderId="55" xfId="0" applyFont="1" applyFill="1" applyBorder="1" applyAlignment="1">
      <alignment horizontal="center" vertical="center"/>
    </xf>
    <xf numFmtId="164" fontId="24" fillId="0" borderId="55" xfId="0" applyNumberFormat="1" applyFont="1" applyBorder="1" applyAlignment="1">
      <alignment vertical="center"/>
    </xf>
    <xf numFmtId="0" fontId="24" fillId="0" borderId="126" xfId="0" applyFont="1" applyBorder="1" applyAlignment="1">
      <alignment vertical="center"/>
    </xf>
    <xf numFmtId="0" fontId="24" fillId="0" borderId="55" xfId="0" applyFont="1" applyBorder="1" applyAlignment="1">
      <alignment horizontal="center" vertical="center"/>
    </xf>
    <xf numFmtId="0" fontId="11" fillId="0" borderId="104" xfId="0" applyFont="1" applyBorder="1" applyAlignment="1">
      <alignment vertical="center"/>
    </xf>
    <xf numFmtId="0" fontId="24" fillId="0" borderId="24" xfId="0" applyFont="1" applyBorder="1" applyAlignment="1">
      <alignment vertical="center"/>
    </xf>
    <xf numFmtId="0" fontId="25" fillId="0" borderId="24" xfId="0" applyFont="1" applyBorder="1" applyAlignment="1">
      <alignment horizontal="center" vertical="center"/>
    </xf>
    <xf numFmtId="164" fontId="24" fillId="0" borderId="24" xfId="1" applyNumberFormat="1" applyFont="1" applyBorder="1" applyAlignment="1">
      <alignment vertical="center"/>
    </xf>
    <xf numFmtId="41" fontId="25" fillId="0" borderId="56" xfId="2" applyFont="1" applyBorder="1" applyAlignment="1">
      <alignment vertical="center"/>
    </xf>
    <xf numFmtId="0" fontId="14" fillId="0" borderId="108" xfId="0" applyFont="1" applyBorder="1" applyAlignment="1">
      <alignment vertical="center"/>
    </xf>
    <xf numFmtId="0" fontId="14" fillId="0" borderId="58" xfId="0" applyFont="1" applyBorder="1" applyAlignment="1">
      <alignment vertical="center"/>
    </xf>
    <xf numFmtId="41" fontId="14" fillId="0" borderId="58" xfId="2" applyFont="1" applyBorder="1" applyAlignment="1">
      <alignment vertical="center"/>
    </xf>
    <xf numFmtId="0" fontId="14" fillId="0" borderId="109" xfId="0" applyFont="1" applyBorder="1" applyAlignment="1">
      <alignment vertical="center"/>
    </xf>
    <xf numFmtId="0" fontId="14" fillId="0" borderId="69" xfId="0" applyFont="1" applyBorder="1" applyAlignment="1">
      <alignment vertical="center"/>
    </xf>
    <xf numFmtId="0" fontId="9" fillId="0" borderId="55" xfId="0" applyFont="1" applyBorder="1" applyAlignment="1">
      <alignment horizontal="left" vertical="center" wrapText="1"/>
    </xf>
    <xf numFmtId="41" fontId="25" fillId="0" borderId="55" xfId="2" applyFont="1" applyBorder="1" applyAlignment="1">
      <alignment vertical="center"/>
    </xf>
    <xf numFmtId="0" fontId="25" fillId="0" borderId="126" xfId="0" applyFont="1" applyBorder="1" applyAlignment="1">
      <alignment vertical="center"/>
    </xf>
    <xf numFmtId="41" fontId="25" fillId="0" borderId="61" xfId="2" applyFont="1" applyBorder="1" applyAlignment="1">
      <alignment vertical="center"/>
    </xf>
    <xf numFmtId="0" fontId="25" fillId="0" borderId="61" xfId="0" applyFont="1" applyBorder="1" applyAlignment="1">
      <alignment vertical="center"/>
    </xf>
    <xf numFmtId="0" fontId="25" fillId="0" borderId="61" xfId="0" applyFont="1" applyBorder="1" applyAlignment="1">
      <alignment vertical="center" wrapText="1"/>
    </xf>
    <xf numFmtId="0" fontId="24" fillId="0" borderId="61" xfId="0" applyFont="1" applyBorder="1" applyAlignment="1">
      <alignment vertical="center" wrapText="1"/>
    </xf>
    <xf numFmtId="41" fontId="24" fillId="0" borderId="61" xfId="2" applyFont="1" applyBorder="1" applyAlignment="1">
      <alignment vertical="center"/>
    </xf>
    <xf numFmtId="0" fontId="14" fillId="0" borderId="97" xfId="0" applyFont="1" applyBorder="1" applyAlignment="1">
      <alignment horizontal="center" vertical="center" wrapText="1"/>
    </xf>
    <xf numFmtId="0" fontId="53" fillId="0" borderId="97" xfId="0" applyFont="1" applyBorder="1" applyAlignment="1">
      <alignment horizontal="center" vertical="center"/>
    </xf>
    <xf numFmtId="3" fontId="14" fillId="0" borderId="97" xfId="0" applyNumberFormat="1" applyFont="1" applyBorder="1" applyAlignment="1">
      <alignment horizontal="center" vertical="center" wrapText="1"/>
    </xf>
    <xf numFmtId="0" fontId="14" fillId="0" borderId="97" xfId="0" applyFont="1" applyBorder="1" applyAlignment="1">
      <alignment horizontal="center" vertical="top" wrapText="1"/>
    </xf>
    <xf numFmtId="0" fontId="53" fillId="0" borderId="97" xfId="0" applyFont="1" applyBorder="1" applyAlignment="1">
      <alignment horizontal="left" vertical="center"/>
    </xf>
    <xf numFmtId="49" fontId="14" fillId="0" borderId="97" xfId="0" applyNumberFormat="1" applyFont="1" applyBorder="1" applyAlignment="1">
      <alignment horizontal="center" vertical="center" wrapText="1"/>
    </xf>
    <xf numFmtId="0" fontId="53" fillId="0" borderId="0" xfId="0" applyFont="1" applyAlignment="1">
      <alignment horizontal="center"/>
    </xf>
    <xf numFmtId="49" fontId="14" fillId="0" borderId="97" xfId="0" applyNumberFormat="1" applyFont="1" applyBorder="1" applyAlignment="1">
      <alignment horizontal="right" vertical="center" wrapText="1"/>
    </xf>
    <xf numFmtId="3" fontId="14" fillId="0" borderId="97" xfId="0" applyNumberFormat="1" applyFont="1" applyBorder="1" applyAlignment="1">
      <alignment horizontal="right" vertical="center" wrapText="1"/>
    </xf>
    <xf numFmtId="0" fontId="14" fillId="0" borderId="97" xfId="0" applyFont="1" applyBorder="1" applyAlignment="1">
      <alignment horizontal="left" vertical="center"/>
    </xf>
    <xf numFmtId="0" fontId="9" fillId="0" borderId="97" xfId="0" applyFont="1" applyBorder="1" applyAlignment="1">
      <alignment horizontal="center" vertical="top" wrapText="1"/>
    </xf>
    <xf numFmtId="49" fontId="9" fillId="0" borderId="97" xfId="0" applyNumberFormat="1" applyFont="1" applyBorder="1" applyAlignment="1">
      <alignment horizontal="center" vertical="center" wrapText="1"/>
    </xf>
    <xf numFmtId="3" fontId="9" fillId="0" borderId="97" xfId="0" applyNumberFormat="1" applyFont="1" applyBorder="1" applyAlignment="1">
      <alignment horizontal="right" vertical="center" wrapText="1"/>
    </xf>
    <xf numFmtId="0" fontId="11" fillId="0" borderId="97" xfId="0" applyFont="1" applyBorder="1" applyAlignment="1">
      <alignment horizontal="center" vertical="center"/>
    </xf>
    <xf numFmtId="0" fontId="11" fillId="0" borderId="97" xfId="0" applyFont="1" applyBorder="1" applyAlignment="1">
      <alignment horizontal="left" vertical="center" wrapText="1"/>
    </xf>
    <xf numFmtId="0" fontId="10" fillId="0" borderId="97" xfId="1" applyNumberFormat="1" applyFont="1" applyBorder="1" applyAlignment="1">
      <alignment horizontal="center" vertical="center"/>
    </xf>
    <xf numFmtId="3" fontId="10" fillId="0" borderId="97" xfId="1" applyNumberFormat="1" applyFont="1" applyBorder="1" applyAlignment="1">
      <alignment horizontal="right" vertical="center"/>
    </xf>
    <xf numFmtId="0" fontId="10" fillId="0" borderId="97" xfId="0" applyFont="1" applyBorder="1" applyAlignment="1">
      <alignment vertical="center" wrapText="1"/>
    </xf>
    <xf numFmtId="0" fontId="14" fillId="0" borderId="97" xfId="0" applyFont="1" applyBorder="1" applyAlignment="1">
      <alignment horizontal="left" vertical="center" wrapText="1"/>
    </xf>
    <xf numFmtId="0" fontId="9" fillId="0" borderId="97" xfId="0" applyFont="1" applyBorder="1" applyAlignment="1">
      <alignment horizontal="left" vertical="center" wrapText="1"/>
    </xf>
    <xf numFmtId="0" fontId="9" fillId="0" borderId="97" xfId="0" applyFont="1" applyBorder="1" applyAlignment="1">
      <alignment horizontal="center" vertical="center" wrapText="1"/>
    </xf>
    <xf numFmtId="3" fontId="9" fillId="0" borderId="97" xfId="0" applyNumberFormat="1" applyFont="1" applyBorder="1" applyAlignment="1">
      <alignment vertical="center" wrapText="1"/>
    </xf>
    <xf numFmtId="0" fontId="9" fillId="0" borderId="97" xfId="0" applyFont="1" applyBorder="1" applyAlignment="1">
      <alignment horizontal="center" vertical="center"/>
    </xf>
    <xf numFmtId="3" fontId="9" fillId="0" borderId="97" xfId="0" applyNumberFormat="1" applyFont="1" applyBorder="1" applyAlignment="1">
      <alignment horizontal="center" vertical="center" wrapText="1"/>
    </xf>
    <xf numFmtId="0" fontId="14" fillId="4" borderId="97" xfId="0" applyFont="1" applyFill="1" applyBorder="1" applyAlignment="1">
      <alignment horizontal="left" vertical="center" wrapText="1"/>
    </xf>
    <xf numFmtId="0" fontId="9" fillId="4" borderId="97" xfId="0" applyFont="1" applyFill="1" applyBorder="1" applyAlignment="1">
      <alignment horizontal="center" vertical="center" wrapText="1"/>
    </xf>
    <xf numFmtId="3" fontId="9" fillId="4" borderId="97" xfId="0" applyNumberFormat="1" applyFont="1" applyFill="1" applyBorder="1" applyAlignment="1">
      <alignment horizontal="right" vertical="center" wrapText="1"/>
    </xf>
    <xf numFmtId="0" fontId="9" fillId="4" borderId="97" xfId="0" applyFont="1" applyFill="1" applyBorder="1" applyAlignment="1">
      <alignment horizontal="center" vertical="center"/>
    </xf>
    <xf numFmtId="0" fontId="9" fillId="4" borderId="97" xfId="0" applyFont="1" applyFill="1" applyBorder="1" applyAlignment="1">
      <alignment horizontal="left" vertical="center" wrapText="1"/>
    </xf>
    <xf numFmtId="3" fontId="9" fillId="4" borderId="97" xfId="0" applyNumberFormat="1" applyFont="1" applyFill="1" applyBorder="1" applyAlignment="1">
      <alignment vertical="center" wrapText="1"/>
    </xf>
    <xf numFmtId="0" fontId="9" fillId="0" borderId="59" xfId="0" applyFont="1" applyBorder="1" applyAlignment="1">
      <alignment horizontal="center" vertical="center"/>
    </xf>
    <xf numFmtId="3" fontId="9" fillId="4" borderId="97" xfId="0" applyNumberFormat="1" applyFont="1" applyFill="1" applyBorder="1" applyAlignment="1">
      <alignment horizontal="center" vertical="center" wrapText="1"/>
    </xf>
    <xf numFmtId="0" fontId="9" fillId="4" borderId="59" xfId="0" applyFont="1" applyFill="1" applyBorder="1" applyAlignment="1">
      <alignment horizontal="center" vertical="center"/>
    </xf>
    <xf numFmtId="3" fontId="14" fillId="4" borderId="97" xfId="0" applyNumberFormat="1" applyFont="1" applyFill="1" applyBorder="1" applyAlignment="1">
      <alignment horizontal="right" vertical="center"/>
    </xf>
    <xf numFmtId="3" fontId="9" fillId="0" borderId="9" xfId="0" applyNumberFormat="1" applyFont="1" applyBorder="1" applyAlignment="1">
      <alignment vertical="center" wrapText="1"/>
    </xf>
    <xf numFmtId="0" fontId="52" fillId="4" borderId="0" xfId="0" applyFont="1" applyFill="1"/>
    <xf numFmtId="0" fontId="69" fillId="0" borderId="97" xfId="0" applyFont="1" applyBorder="1" applyAlignment="1">
      <alignment horizontal="left" vertical="center"/>
    </xf>
    <xf numFmtId="3" fontId="14" fillId="0" borderId="97" xfId="0" applyNumberFormat="1" applyFont="1" applyBorder="1" applyAlignment="1">
      <alignment horizontal="right" vertical="top"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4" fillId="0" borderId="11" xfId="0" applyFont="1" applyBorder="1" applyAlignment="1">
      <alignment horizontal="center" vertical="center" wrapText="1"/>
    </xf>
    <xf numFmtId="167" fontId="14" fillId="0" borderId="11" xfId="1" applyNumberFormat="1" applyFont="1" applyBorder="1" applyAlignment="1">
      <alignment horizontal="center" vertical="center" wrapText="1"/>
    </xf>
    <xf numFmtId="43" fontId="14" fillId="0" borderId="11" xfId="1" applyFont="1" applyBorder="1" applyAlignment="1">
      <alignment horizontal="center" vertical="center" wrapText="1"/>
    </xf>
    <xf numFmtId="0" fontId="14" fillId="0" borderId="12" xfId="0" applyFont="1" applyBorder="1" applyAlignment="1">
      <alignment horizontal="center" vertical="center" wrapText="1"/>
    </xf>
    <xf numFmtId="0" fontId="10" fillId="0" borderId="101" xfId="0" applyFont="1" applyBorder="1" applyAlignment="1">
      <alignment horizontal="center" vertical="center"/>
    </xf>
    <xf numFmtId="0" fontId="10" fillId="0" borderId="75" xfId="0" applyFont="1" applyBorder="1" applyAlignment="1">
      <alignment horizontal="center" vertical="center"/>
    </xf>
    <xf numFmtId="167" fontId="9" fillId="0" borderId="75" xfId="1" quotePrefix="1" applyNumberFormat="1" applyFont="1" applyBorder="1" applyAlignment="1">
      <alignment horizontal="center" vertical="center" wrapText="1"/>
    </xf>
    <xf numFmtId="167" fontId="9" fillId="0" borderId="75" xfId="1" quotePrefix="1" applyNumberFormat="1" applyFont="1" applyBorder="1" applyAlignment="1">
      <alignment wrapText="1"/>
    </xf>
    <xf numFmtId="0" fontId="9" fillId="0" borderId="102" xfId="0" applyFont="1" applyBorder="1" applyAlignment="1">
      <alignment horizontal="center" vertical="center" wrapText="1"/>
    </xf>
    <xf numFmtId="0" fontId="11" fillId="0" borderId="101" xfId="0" applyFont="1" applyBorder="1" applyAlignment="1">
      <alignment horizontal="center" vertical="center"/>
    </xf>
    <xf numFmtId="0" fontId="11" fillId="0" borderId="75" xfId="0" applyFont="1" applyBorder="1" applyAlignment="1">
      <alignment vertical="center"/>
    </xf>
    <xf numFmtId="0" fontId="11" fillId="0" borderId="75" xfId="0" applyFont="1" applyBorder="1" applyAlignment="1">
      <alignment horizontal="center" vertical="center"/>
    </xf>
    <xf numFmtId="167" fontId="11" fillId="0" borderId="75" xfId="1" applyNumberFormat="1" applyFont="1" applyBorder="1" applyAlignment="1">
      <alignment vertical="center"/>
    </xf>
    <xf numFmtId="43" fontId="11" fillId="0" borderId="75" xfId="1" applyFont="1" applyBorder="1" applyAlignment="1">
      <alignment vertical="center"/>
    </xf>
    <xf numFmtId="0" fontId="11" fillId="0" borderId="75" xfId="0" applyFont="1" applyBorder="1" applyAlignment="1">
      <alignment vertical="center" wrapText="1"/>
    </xf>
    <xf numFmtId="167" fontId="11" fillId="0" borderId="102" xfId="0" applyNumberFormat="1" applyFont="1" applyBorder="1" applyAlignment="1">
      <alignment horizontal="center" vertical="center" wrapText="1"/>
    </xf>
    <xf numFmtId="0" fontId="10" fillId="0" borderId="75" xfId="0" applyFont="1" applyBorder="1" applyAlignment="1">
      <alignment vertical="center" wrapText="1"/>
    </xf>
    <xf numFmtId="167" fontId="10" fillId="0" borderId="75" xfId="1" applyNumberFormat="1" applyFont="1" applyBorder="1" applyAlignment="1">
      <alignment vertical="center"/>
    </xf>
    <xf numFmtId="43" fontId="10" fillId="0" borderId="75" xfId="1" applyFont="1" applyBorder="1" applyAlignment="1">
      <alignment vertical="center"/>
    </xf>
    <xf numFmtId="0" fontId="10" fillId="0" borderId="102" xfId="0" applyFont="1" applyBorder="1" applyAlignment="1">
      <alignment vertical="center" wrapText="1"/>
    </xf>
    <xf numFmtId="167" fontId="11" fillId="4" borderId="75" xfId="1" applyNumberFormat="1" applyFont="1" applyFill="1" applyBorder="1" applyAlignment="1">
      <alignment vertical="center"/>
    </xf>
    <xf numFmtId="167" fontId="73" fillId="0" borderId="75" xfId="1" applyNumberFormat="1" applyFont="1" applyBorder="1" applyAlignment="1">
      <alignment vertical="center"/>
    </xf>
    <xf numFmtId="0" fontId="11" fillId="0" borderId="102" xfId="0" applyFont="1" applyBorder="1" applyAlignment="1">
      <alignment vertical="center" wrapText="1"/>
    </xf>
    <xf numFmtId="0" fontId="74" fillId="0" borderId="101" xfId="0" applyFont="1" applyBorder="1" applyAlignment="1">
      <alignment horizontal="center" vertical="center"/>
    </xf>
    <xf numFmtId="0" fontId="74" fillId="0" borderId="75" xfId="0" applyFont="1" applyBorder="1" applyAlignment="1">
      <alignment vertical="center" wrapText="1"/>
    </xf>
    <xf numFmtId="0" fontId="74" fillId="0" borderId="75" xfId="0" applyFont="1" applyBorder="1" applyAlignment="1">
      <alignment horizontal="center" vertical="center"/>
    </xf>
    <xf numFmtId="167" fontId="74" fillId="0" borderId="75" xfId="1" applyNumberFormat="1" applyFont="1" applyBorder="1" applyAlignment="1">
      <alignment vertical="center"/>
    </xf>
    <xf numFmtId="43" fontId="74" fillId="0" borderId="75" xfId="1" applyFont="1" applyBorder="1" applyAlignment="1">
      <alignment vertical="center"/>
    </xf>
    <xf numFmtId="0" fontId="74" fillId="0" borderId="102" xfId="0" applyFont="1" applyBorder="1" applyAlignment="1">
      <alignment vertical="center" wrapText="1"/>
    </xf>
    <xf numFmtId="0" fontId="10" fillId="0" borderId="75" xfId="0" applyFont="1" applyBorder="1" applyAlignment="1">
      <alignment vertical="center"/>
    </xf>
    <xf numFmtId="0" fontId="10" fillId="0" borderId="102" xfId="0" applyFont="1" applyBorder="1" applyAlignment="1">
      <alignment horizontal="center" vertical="center" wrapText="1"/>
    </xf>
    <xf numFmtId="0" fontId="10" fillId="0" borderId="102" xfId="0" applyFont="1" applyBorder="1" applyAlignment="1">
      <alignment horizontal="center" vertical="center"/>
    </xf>
    <xf numFmtId="0" fontId="74" fillId="0" borderId="102" xfId="0" applyFont="1" applyBorder="1" applyAlignment="1">
      <alignment vertical="center"/>
    </xf>
    <xf numFmtId="0" fontId="76" fillId="0" borderId="75" xfId="0" applyFont="1" applyBorder="1" applyAlignment="1">
      <alignment vertical="center"/>
    </xf>
    <xf numFmtId="0" fontId="77" fillId="0" borderId="101" xfId="0" applyFont="1" applyBorder="1" applyAlignment="1">
      <alignment horizontal="center" vertical="center"/>
    </xf>
    <xf numFmtId="0" fontId="77" fillId="0" borderId="75" xfId="0" applyFont="1" applyBorder="1" applyAlignment="1">
      <alignment vertical="center" wrapText="1"/>
    </xf>
    <xf numFmtId="3" fontId="24" fillId="0" borderId="75" xfId="0" applyNumberFormat="1" applyFont="1" applyBorder="1"/>
    <xf numFmtId="0" fontId="11" fillId="0" borderId="102" xfId="0" applyFont="1" applyBorder="1" applyAlignment="1">
      <alignment horizontal="center" vertical="center" wrapText="1"/>
    </xf>
    <xf numFmtId="0" fontId="14" fillId="0" borderId="75" xfId="0" applyFont="1" applyBorder="1" applyAlignment="1">
      <alignment horizontal="left" vertical="center"/>
    </xf>
    <xf numFmtId="0" fontId="9" fillId="0" borderId="75" xfId="0" applyFont="1" applyBorder="1" applyAlignment="1">
      <alignment horizontal="center"/>
    </xf>
    <xf numFmtId="0" fontId="14" fillId="0" borderId="75" xfId="0" applyFont="1" applyBorder="1"/>
    <xf numFmtId="0" fontId="10" fillId="0" borderId="75" xfId="0" applyFont="1" applyBorder="1" applyAlignment="1">
      <alignment horizontal="center" vertical="center" wrapText="1"/>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167" fontId="11" fillId="0" borderId="104" xfId="1" applyNumberFormat="1" applyFont="1" applyBorder="1" applyAlignment="1">
      <alignment vertical="center"/>
    </xf>
    <xf numFmtId="43" fontId="11" fillId="0" borderId="104" xfId="1" applyFont="1" applyBorder="1" applyAlignment="1">
      <alignment vertical="center"/>
    </xf>
    <xf numFmtId="0" fontId="11" fillId="0" borderId="105" xfId="0" applyFont="1" applyBorder="1" applyAlignment="1">
      <alignment vertical="center"/>
    </xf>
    <xf numFmtId="167" fontId="10" fillId="0" borderId="75" xfId="1" applyNumberFormat="1" applyFont="1" applyBorder="1" applyAlignment="1"/>
    <xf numFmtId="3" fontId="74" fillId="0" borderId="75" xfId="0" applyNumberFormat="1" applyFont="1" applyBorder="1" applyAlignment="1">
      <alignment vertical="center"/>
    </xf>
    <xf numFmtId="3" fontId="17" fillId="2" borderId="75" xfId="0" applyNumberFormat="1" applyFont="1" applyFill="1" applyBorder="1" applyAlignment="1">
      <alignment vertical="center"/>
    </xf>
    <xf numFmtId="3" fontId="24" fillId="0" borderId="75" xfId="0" applyNumberFormat="1" applyFont="1" applyBorder="1" applyAlignment="1"/>
    <xf numFmtId="167" fontId="10" fillId="0" borderId="75" xfId="1" applyNumberFormat="1" applyFont="1" applyBorder="1" applyAlignment="1">
      <alignment horizontal="right" vertical="center" readingOrder="1"/>
    </xf>
    <xf numFmtId="3" fontId="9" fillId="0" borderId="75" xfId="0" applyNumberFormat="1" applyFont="1" applyBorder="1" applyAlignment="1"/>
    <xf numFmtId="0" fontId="13" fillId="0" borderId="60" xfId="0" applyFont="1" applyBorder="1" applyAlignment="1">
      <alignment horizontal="center" vertical="center" wrapText="1"/>
    </xf>
    <xf numFmtId="0" fontId="64" fillId="0" borderId="60" xfId="0" applyFont="1" applyBorder="1" applyAlignment="1">
      <alignment horizontal="center" vertical="center" wrapText="1"/>
    </xf>
    <xf numFmtId="3" fontId="64" fillId="0" borderId="60" xfId="0" applyNumberFormat="1" applyFont="1" applyBorder="1" applyAlignment="1">
      <alignment horizontal="center" vertical="center" wrapText="1"/>
    </xf>
    <xf numFmtId="0" fontId="67" fillId="0" borderId="60" xfId="0" applyFont="1" applyBorder="1" applyAlignment="1">
      <alignment vertical="center"/>
    </xf>
    <xf numFmtId="3" fontId="9" fillId="0" borderId="60" xfId="0" applyNumberFormat="1" applyFont="1" applyBorder="1" applyAlignment="1">
      <alignment horizontal="right" vertical="center" wrapText="1"/>
    </xf>
    <xf numFmtId="1" fontId="12" fillId="0" borderId="60" xfId="0" applyNumberFormat="1" applyFont="1" applyBorder="1" applyAlignment="1">
      <alignment horizontal="center" vertical="center" wrapText="1"/>
    </xf>
    <xf numFmtId="0" fontId="0" fillId="0" borderId="60" xfId="0" applyBorder="1" applyAlignment="1">
      <alignment horizontal="center" vertical="center"/>
    </xf>
    <xf numFmtId="0" fontId="67" fillId="0" borderId="60" xfId="0" applyFont="1" applyBorder="1" applyAlignment="1">
      <alignment horizontal="center" vertical="center"/>
    </xf>
    <xf numFmtId="0" fontId="68" fillId="0" borderId="60" xfId="0" applyFont="1" applyBorder="1" applyAlignment="1">
      <alignment vertical="center"/>
    </xf>
    <xf numFmtId="0" fontId="0" fillId="0" borderId="60" xfId="0" applyBorder="1" applyAlignment="1">
      <alignment vertical="center"/>
    </xf>
    <xf numFmtId="0" fontId="67" fillId="0" borderId="0" xfId="0" applyFont="1" applyAlignment="1">
      <alignment vertical="center"/>
    </xf>
    <xf numFmtId="0" fontId="61" fillId="0" borderId="60" xfId="0" applyFont="1" applyBorder="1" applyAlignment="1">
      <alignment horizontal="center" vertical="center" wrapText="1"/>
    </xf>
    <xf numFmtId="0" fontId="67" fillId="0" borderId="60" xfId="0" applyFont="1" applyBorder="1" applyAlignment="1">
      <alignment vertical="center" wrapText="1"/>
    </xf>
    <xf numFmtId="0" fontId="61" fillId="0" borderId="60" xfId="0" applyFont="1" applyBorder="1" applyAlignment="1">
      <alignment horizontal="right" vertical="center"/>
    </xf>
    <xf numFmtId="0" fontId="62" fillId="0" borderId="0" xfId="0" applyFont="1" applyAlignment="1">
      <alignment vertical="center"/>
    </xf>
    <xf numFmtId="0" fontId="61" fillId="0" borderId="60" xfId="0" applyFont="1" applyBorder="1" applyAlignment="1">
      <alignment vertical="center"/>
    </xf>
    <xf numFmtId="3" fontId="0" fillId="0" borderId="60" xfId="0" applyNumberFormat="1" applyBorder="1" applyAlignment="1">
      <alignment vertical="center"/>
    </xf>
    <xf numFmtId="0" fontId="64" fillId="0" borderId="60" xfId="0" applyFont="1" applyBorder="1" applyAlignment="1">
      <alignment horizontal="justify" vertical="center" wrapText="1"/>
    </xf>
    <xf numFmtId="3" fontId="14" fillId="0" borderId="60" xfId="0" applyNumberFormat="1" applyFont="1" applyBorder="1" applyAlignment="1">
      <alignment horizontal="right" vertical="center" wrapText="1"/>
    </xf>
    <xf numFmtId="0" fontId="12" fillId="0" borderId="60" xfId="0" applyFont="1" applyBorder="1" applyAlignment="1">
      <alignment horizontal="right" vertical="center" wrapText="1"/>
    </xf>
    <xf numFmtId="0" fontId="24" fillId="0" borderId="10" xfId="0" applyFont="1" applyBorder="1" applyAlignment="1">
      <alignment horizontal="center"/>
    </xf>
    <xf numFmtId="0" fontId="24" fillId="0" borderId="11" xfId="0" applyFont="1" applyBorder="1" applyAlignment="1">
      <alignment horizontal="center"/>
    </xf>
    <xf numFmtId="0" fontId="0" fillId="0" borderId="101" xfId="0" applyBorder="1" applyAlignment="1">
      <alignment horizontal="center"/>
    </xf>
    <xf numFmtId="0" fontId="0" fillId="0" borderId="75" xfId="0" applyBorder="1" applyAlignment="1">
      <alignment horizontal="center"/>
    </xf>
    <xf numFmtId="0" fontId="0" fillId="0" borderId="75" xfId="0" applyBorder="1"/>
    <xf numFmtId="0" fontId="0" fillId="0" borderId="102" xfId="0" applyBorder="1" applyAlignment="1">
      <alignment horizontal="center"/>
    </xf>
    <xf numFmtId="49" fontId="24" fillId="0" borderId="75" xfId="0" applyNumberFormat="1" applyFont="1" applyBorder="1" applyAlignment="1">
      <alignment vertical="top" wrapText="1"/>
    </xf>
    <xf numFmtId="0" fontId="0" fillId="0" borderId="102" xfId="0" applyBorder="1"/>
    <xf numFmtId="49" fontId="99" fillId="0" borderId="75" xfId="0" applyNumberFormat="1" applyFont="1" applyBorder="1" applyAlignment="1">
      <alignment horizontal="center" wrapText="1"/>
    </xf>
    <xf numFmtId="0" fontId="99" fillId="0" borderId="75" xfId="0" applyFont="1" applyBorder="1" applyAlignment="1">
      <alignment horizontal="center"/>
    </xf>
    <xf numFmtId="0" fontId="99" fillId="0" borderId="75" xfId="0" applyFont="1" applyBorder="1"/>
    <xf numFmtId="3" fontId="99" fillId="0" borderId="75" xfId="0" applyNumberFormat="1" applyFont="1" applyBorder="1"/>
    <xf numFmtId="0" fontId="99" fillId="0" borderId="75" xfId="0" applyFont="1" applyBorder="1" applyAlignment="1">
      <alignment horizontal="right"/>
    </xf>
    <xf numFmtId="0" fontId="99" fillId="0" borderId="102" xfId="0" applyFont="1" applyBorder="1"/>
    <xf numFmtId="0" fontId="24" fillId="0" borderId="101" xfId="0" applyFont="1" applyBorder="1" applyAlignment="1">
      <alignment horizontal="center"/>
    </xf>
    <xf numFmtId="49" fontId="100" fillId="0" borderId="75" xfId="0" applyNumberFormat="1" applyFont="1" applyBorder="1"/>
    <xf numFmtId="3" fontId="100" fillId="0" borderId="75" xfId="0" applyNumberFormat="1" applyFont="1" applyBorder="1"/>
    <xf numFmtId="0" fontId="99" fillId="0" borderId="102" xfId="0" applyFont="1" applyBorder="1" applyAlignment="1">
      <alignment wrapText="1"/>
    </xf>
    <xf numFmtId="0" fontId="101" fillId="0" borderId="101" xfId="0" applyFont="1" applyBorder="1" applyAlignment="1">
      <alignment horizontal="center"/>
    </xf>
    <xf numFmtId="0" fontId="100" fillId="0" borderId="75" xfId="0" applyFont="1" applyBorder="1"/>
    <xf numFmtId="3" fontId="14" fillId="0" borderId="75" xfId="0" applyNumberFormat="1" applyFont="1" applyBorder="1"/>
    <xf numFmtId="0" fontId="98" fillId="0" borderId="101" xfId="0" applyFont="1" applyBorder="1" applyAlignment="1">
      <alignment horizontal="center"/>
    </xf>
    <xf numFmtId="0" fontId="103" fillId="0" borderId="75" xfId="0" applyFont="1" applyBorder="1"/>
    <xf numFmtId="0" fontId="99" fillId="0" borderId="75" xfId="0" applyFont="1" applyBorder="1" applyAlignment="1">
      <alignment horizontal="center" wrapText="1"/>
    </xf>
    <xf numFmtId="0" fontId="99" fillId="0" borderId="75" xfId="0" applyFont="1" applyBorder="1" applyAlignment="1">
      <alignment horizontal="left" wrapText="1"/>
    </xf>
    <xf numFmtId="0" fontId="98" fillId="0" borderId="101" xfId="0" applyFont="1" applyBorder="1" applyAlignment="1">
      <alignment horizontal="center" wrapText="1"/>
    </xf>
    <xf numFmtId="3" fontId="9" fillId="0" borderId="75" xfId="0" applyNumberFormat="1" applyFont="1" applyBorder="1"/>
    <xf numFmtId="0" fontId="14" fillId="0" borderId="101" xfId="0" applyFont="1" applyBorder="1" applyAlignment="1">
      <alignment horizontal="center" vertical="center"/>
    </xf>
    <xf numFmtId="3" fontId="101" fillId="0" borderId="75" xfId="0" applyNumberFormat="1" applyFont="1" applyBorder="1"/>
    <xf numFmtId="0" fontId="99" fillId="0" borderId="104" xfId="0" applyFont="1" applyBorder="1"/>
    <xf numFmtId="3" fontId="99" fillId="0" borderId="104" xfId="0" applyNumberFormat="1" applyFont="1" applyBorder="1"/>
    <xf numFmtId="3" fontId="101" fillId="0" borderId="104" xfId="0" applyNumberFormat="1" applyFont="1" applyBorder="1"/>
    <xf numFmtId="0" fontId="99" fillId="0" borderId="105" xfId="0" applyFont="1" applyBorder="1"/>
    <xf numFmtId="0" fontId="0" fillId="0" borderId="101" xfId="0" applyBorder="1" applyAlignment="1">
      <alignment horizontal="center" vertical="center"/>
    </xf>
    <xf numFmtId="0" fontId="0" fillId="0" borderId="75" xfId="0" applyBorder="1" applyAlignment="1">
      <alignment horizontal="center" vertical="center"/>
    </xf>
    <xf numFmtId="0" fontId="0" fillId="0" borderId="75" xfId="0" applyBorder="1" applyAlignment="1">
      <alignment vertical="center"/>
    </xf>
    <xf numFmtId="0" fontId="0" fillId="0" borderId="102" xfId="0" applyBorder="1" applyAlignment="1">
      <alignment horizontal="center" vertical="center"/>
    </xf>
    <xf numFmtId="49" fontId="24" fillId="0" borderId="75" xfId="0" applyNumberFormat="1" applyFont="1" applyBorder="1" applyAlignment="1">
      <alignment vertical="center" wrapText="1"/>
    </xf>
    <xf numFmtId="3" fontId="24" fillId="0" borderId="75" xfId="0" applyNumberFormat="1" applyFont="1" applyBorder="1" applyAlignment="1">
      <alignment horizontal="right" vertical="center"/>
    </xf>
    <xf numFmtId="0" fontId="0" fillId="0" borderId="102" xfId="0" applyBorder="1" applyAlignment="1">
      <alignment vertical="center"/>
    </xf>
    <xf numFmtId="49" fontId="99" fillId="0" borderId="75" xfId="0" applyNumberFormat="1" applyFont="1" applyBorder="1" applyAlignment="1">
      <alignment horizontal="center" vertical="center" wrapText="1"/>
    </xf>
    <xf numFmtId="0" fontId="99" fillId="0" borderId="75" xfId="0" applyFont="1" applyBorder="1" applyAlignment="1">
      <alignment horizontal="center" vertical="center"/>
    </xf>
    <xf numFmtId="0" fontId="99" fillId="0" borderId="75" xfId="0" applyFont="1" applyBorder="1" applyAlignment="1">
      <alignment vertical="center"/>
    </xf>
    <xf numFmtId="3" fontId="99" fillId="0" borderId="75" xfId="0" applyNumberFormat="1" applyFont="1" applyBorder="1" applyAlignment="1">
      <alignment vertical="center"/>
    </xf>
    <xf numFmtId="0" fontId="99" fillId="0" borderId="75" xfId="0" applyFont="1" applyBorder="1" applyAlignment="1">
      <alignment horizontal="right" vertical="center"/>
    </xf>
    <xf numFmtId="3" fontId="14" fillId="5" borderId="75" xfId="0" applyNumberFormat="1" applyFont="1" applyFill="1" applyBorder="1" applyAlignment="1">
      <alignment vertical="center"/>
    </xf>
    <xf numFmtId="0" fontId="99" fillId="0" borderId="102" xfId="0" applyFont="1" applyBorder="1" applyAlignment="1">
      <alignment vertical="center"/>
    </xf>
    <xf numFmtId="0" fontId="24" fillId="0" borderId="101" xfId="0" applyFont="1" applyBorder="1" applyAlignment="1">
      <alignment horizontal="center" vertical="center"/>
    </xf>
    <xf numFmtId="49" fontId="100" fillId="0" borderId="75" xfId="0" applyNumberFormat="1" applyFont="1" applyBorder="1" applyAlignment="1">
      <alignment vertical="center"/>
    </xf>
    <xf numFmtId="3" fontId="100" fillId="0" borderId="75" xfId="0" applyNumberFormat="1" applyFont="1" applyBorder="1" applyAlignment="1">
      <alignment vertical="center"/>
    </xf>
    <xf numFmtId="0" fontId="99" fillId="0" borderId="102" xfId="0" applyFont="1" applyBorder="1" applyAlignment="1">
      <alignment vertical="center" wrapText="1"/>
    </xf>
    <xf numFmtId="0" fontId="101" fillId="0" borderId="101" xfId="0" applyFont="1" applyBorder="1" applyAlignment="1">
      <alignment horizontal="center" vertical="center"/>
    </xf>
    <xf numFmtId="0" fontId="100" fillId="0" borderId="75" xfId="0" applyFont="1" applyBorder="1" applyAlignment="1">
      <alignment vertical="center"/>
    </xf>
    <xf numFmtId="3" fontId="14" fillId="0" borderId="75" xfId="0" applyNumberFormat="1" applyFont="1" applyBorder="1" applyAlignment="1">
      <alignment vertical="center"/>
    </xf>
    <xf numFmtId="0" fontId="102" fillId="0" borderId="102" xfId="0" applyFont="1" applyBorder="1" applyAlignment="1">
      <alignment vertical="center" wrapText="1"/>
    </xf>
    <xf numFmtId="0" fontId="98" fillId="0" borderId="0" xfId="0" applyFont="1" applyAlignment="1">
      <alignment vertical="center" wrapText="1"/>
    </xf>
    <xf numFmtId="0" fontId="98" fillId="0" borderId="0" xfId="0" applyFont="1" applyAlignment="1">
      <alignment vertical="center"/>
    </xf>
    <xf numFmtId="0" fontId="98" fillId="0" borderId="101" xfId="0" applyFont="1" applyBorder="1" applyAlignment="1">
      <alignment horizontal="center" vertical="center"/>
    </xf>
    <xf numFmtId="3" fontId="100" fillId="5" borderId="75" xfId="0" applyNumberFormat="1" applyFont="1" applyFill="1" applyBorder="1" applyAlignment="1">
      <alignment vertical="center"/>
    </xf>
    <xf numFmtId="0" fontId="14" fillId="0" borderId="75" xfId="0" applyFont="1" applyBorder="1" applyAlignment="1">
      <alignment horizontal="left" vertical="center" wrapText="1"/>
    </xf>
    <xf numFmtId="0" fontId="99" fillId="0" borderId="75" xfId="0" applyFont="1" applyBorder="1" applyAlignment="1">
      <alignment horizontal="center" vertical="center" wrapText="1"/>
    </xf>
    <xf numFmtId="0" fontId="99" fillId="0" borderId="75" xfId="0" applyFont="1" applyBorder="1" applyAlignment="1">
      <alignment horizontal="left" vertical="center" wrapText="1"/>
    </xf>
    <xf numFmtId="0" fontId="98" fillId="0" borderId="101" xfId="0" applyFont="1" applyBorder="1" applyAlignment="1">
      <alignment horizontal="center" vertical="center" wrapText="1"/>
    </xf>
    <xf numFmtId="0" fontId="99" fillId="0" borderId="75" xfId="0" applyFont="1" applyBorder="1" applyAlignment="1">
      <alignment vertical="center" wrapText="1"/>
    </xf>
    <xf numFmtId="0" fontId="101" fillId="0" borderId="101" xfId="0" applyFont="1" applyBorder="1" applyAlignment="1">
      <alignment horizontal="center" vertical="center" wrapText="1"/>
    </xf>
    <xf numFmtId="0" fontId="9" fillId="0" borderId="75" xfId="0" applyFont="1" applyBorder="1" applyAlignment="1">
      <alignment horizontal="left" vertical="center" wrapText="1"/>
    </xf>
    <xf numFmtId="0" fontId="9" fillId="0" borderId="75" xfId="0" applyFont="1" applyBorder="1" applyAlignment="1">
      <alignment vertical="center" wrapText="1"/>
    </xf>
    <xf numFmtId="3" fontId="9" fillId="0" borderId="75" xfId="0" applyNumberFormat="1" applyFont="1" applyBorder="1" applyAlignment="1">
      <alignment vertical="center"/>
    </xf>
    <xf numFmtId="0" fontId="14" fillId="0" borderId="102" xfId="0" applyFont="1" applyBorder="1" applyAlignment="1">
      <alignment vertical="center" wrapText="1"/>
    </xf>
    <xf numFmtId="0" fontId="101" fillId="0" borderId="0" xfId="0" applyFont="1" applyAlignment="1">
      <alignment vertical="center" wrapText="1"/>
    </xf>
    <xf numFmtId="0" fontId="101" fillId="0" borderId="0" xfId="0" applyFont="1" applyAlignment="1">
      <alignment vertical="center"/>
    </xf>
    <xf numFmtId="0" fontId="14" fillId="0" borderId="102" xfId="0" applyFont="1" applyBorder="1" applyAlignment="1">
      <alignment vertical="center"/>
    </xf>
    <xf numFmtId="0" fontId="98" fillId="0" borderId="70" xfId="0" applyFont="1" applyBorder="1" applyAlignment="1">
      <alignment vertical="center"/>
    </xf>
    <xf numFmtId="0" fontId="104" fillId="0" borderId="101" xfId="0" applyFont="1" applyBorder="1" applyAlignment="1">
      <alignment horizontal="center" vertical="center"/>
    </xf>
    <xf numFmtId="3" fontId="101" fillId="0" borderId="75" xfId="0" applyNumberFormat="1" applyFont="1" applyBorder="1" applyAlignment="1">
      <alignment vertical="center"/>
    </xf>
    <xf numFmtId="0" fontId="98" fillId="0" borderId="103" xfId="0" applyFont="1" applyBorder="1" applyAlignment="1">
      <alignment horizontal="center" vertical="center"/>
    </xf>
    <xf numFmtId="0" fontId="99" fillId="0" borderId="104" xfId="0" applyFont="1" applyBorder="1" applyAlignment="1">
      <alignment vertical="center"/>
    </xf>
    <xf numFmtId="3" fontId="99" fillId="0" borderId="104" xfId="0" applyNumberFormat="1" applyFont="1" applyBorder="1" applyAlignment="1">
      <alignment vertical="center"/>
    </xf>
    <xf numFmtId="3" fontId="101" fillId="0" borderId="104" xfId="0" applyNumberFormat="1" applyFont="1" applyBorder="1" applyAlignment="1">
      <alignment vertical="center"/>
    </xf>
    <xf numFmtId="0" fontId="99" fillId="0" borderId="105" xfId="0" applyFont="1" applyBorder="1" applyAlignment="1">
      <alignment vertical="center"/>
    </xf>
    <xf numFmtId="0" fontId="103" fillId="0" borderId="75" xfId="0" applyFont="1" applyBorder="1" applyAlignment="1">
      <alignment vertical="center" wrapText="1"/>
    </xf>
    <xf numFmtId="0" fontId="98" fillId="0" borderId="75" xfId="0" applyFont="1" applyBorder="1" applyAlignment="1">
      <alignment horizontal="center" vertical="center"/>
    </xf>
    <xf numFmtId="0" fontId="98" fillId="0" borderId="104" xfId="0" applyFont="1" applyBorder="1" applyAlignment="1">
      <alignment horizontal="center" vertical="center"/>
    </xf>
    <xf numFmtId="0" fontId="99" fillId="0" borderId="0" xfId="0" applyFont="1" applyAlignment="1"/>
    <xf numFmtId="0" fontId="99" fillId="0" borderId="75" xfId="0" applyFont="1" applyBorder="1" applyAlignment="1">
      <alignment horizontal="right" wrapText="1"/>
    </xf>
    <xf numFmtId="0" fontId="99" fillId="0" borderId="75" xfId="0" applyFont="1" applyBorder="1" applyAlignment="1">
      <alignment horizontal="left" vertical="top" wrapText="1"/>
    </xf>
    <xf numFmtId="0" fontId="98" fillId="0" borderId="101" xfId="0" applyFont="1" applyBorder="1"/>
    <xf numFmtId="0" fontId="99" fillId="0" borderId="75" xfId="0" applyFont="1" applyBorder="1" applyAlignment="1">
      <alignment vertical="top"/>
    </xf>
    <xf numFmtId="0" fontId="101" fillId="0" borderId="75" xfId="0" applyFont="1" applyBorder="1"/>
    <xf numFmtId="0" fontId="98" fillId="0" borderId="103" xfId="0" applyFont="1" applyBorder="1"/>
    <xf numFmtId="0" fontId="0" fillId="0" borderId="106" xfId="0" applyBorder="1"/>
    <xf numFmtId="0" fontId="24" fillId="0" borderId="12" xfId="0" applyFont="1" applyBorder="1" applyAlignment="1">
      <alignment horizontal="center" vertical="center" wrapText="1"/>
    </xf>
    <xf numFmtId="0" fontId="101" fillId="0" borderId="75" xfId="0" applyFont="1" applyBorder="1" applyAlignment="1">
      <alignment horizontal="center"/>
    </xf>
    <xf numFmtId="0" fontId="101" fillId="0" borderId="104" xfId="0" applyFont="1" applyBorder="1" applyAlignment="1">
      <alignment horizontal="center"/>
    </xf>
    <xf numFmtId="0" fontId="19" fillId="0" borderId="75" xfId="4" applyBorder="1" applyAlignment="1">
      <alignment horizontal="center" vertical="center"/>
    </xf>
    <xf numFmtId="3" fontId="25" fillId="0" borderId="75" xfId="4" applyNumberFormat="1" applyFont="1" applyBorder="1" applyAlignment="1">
      <alignment vertical="center"/>
    </xf>
    <xf numFmtId="3" fontId="21" fillId="0" borderId="75" xfId="4" applyNumberFormat="1" applyFont="1" applyBorder="1" applyAlignment="1">
      <alignment vertical="center"/>
    </xf>
    <xf numFmtId="0" fontId="19" fillId="0" borderId="0" xfId="4" applyAlignment="1">
      <alignment vertical="center"/>
    </xf>
    <xf numFmtId="0" fontId="19" fillId="5" borderId="75" xfId="4" applyFill="1" applyBorder="1" applyAlignment="1">
      <alignment horizontal="center" vertical="center"/>
    </xf>
    <xf numFmtId="3" fontId="25" fillId="5" borderId="75" xfId="4" applyNumberFormat="1" applyFont="1" applyFill="1" applyBorder="1" applyAlignment="1">
      <alignment vertical="center"/>
    </xf>
    <xf numFmtId="3" fontId="24" fillId="0" borderId="75" xfId="4" applyNumberFormat="1" applyFont="1" applyBorder="1" applyAlignment="1">
      <alignment vertical="center"/>
    </xf>
    <xf numFmtId="0" fontId="20" fillId="0" borderId="0" xfId="4" applyFont="1" applyAlignment="1">
      <alignment vertical="center"/>
    </xf>
    <xf numFmtId="0" fontId="9"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center" vertical="center" wrapText="1"/>
    </xf>
    <xf numFmtId="0" fontId="9" fillId="0" borderId="69" xfId="0" applyFont="1" applyBorder="1" applyAlignment="1">
      <alignment horizontal="center" vertical="center"/>
    </xf>
    <xf numFmtId="0" fontId="25" fillId="5" borderId="0" xfId="0" applyFont="1" applyFill="1" applyAlignment="1">
      <alignment vertical="center"/>
    </xf>
    <xf numFmtId="0" fontId="14" fillId="0" borderId="134" xfId="0" applyFont="1" applyBorder="1" applyAlignment="1">
      <alignment horizontal="center" vertical="center"/>
    </xf>
    <xf numFmtId="0" fontId="14" fillId="0" borderId="9" xfId="0" applyFont="1" applyBorder="1" applyAlignment="1">
      <alignment horizontal="center" vertical="center"/>
    </xf>
    <xf numFmtId="0" fontId="14" fillId="2" borderId="134" xfId="0" applyFont="1" applyFill="1" applyBorder="1" applyAlignment="1">
      <alignment horizontal="center" vertical="center" wrapText="1"/>
    </xf>
    <xf numFmtId="0" fontId="101" fillId="2" borderId="133" xfId="0" applyFont="1" applyFill="1" applyBorder="1" applyAlignment="1">
      <alignment horizontal="justify" vertical="center" wrapText="1"/>
    </xf>
    <xf numFmtId="0" fontId="113" fillId="0" borderId="133" xfId="0" applyFont="1" applyBorder="1" applyAlignment="1">
      <alignment horizontal="center" vertical="center"/>
    </xf>
    <xf numFmtId="0" fontId="14" fillId="0" borderId="133" xfId="0" applyFont="1" applyBorder="1" applyAlignment="1">
      <alignment vertical="center"/>
    </xf>
    <xf numFmtId="0" fontId="14" fillId="0" borderId="133" xfId="0" applyFont="1" applyBorder="1" applyAlignment="1">
      <alignment vertical="center" wrapText="1"/>
    </xf>
    <xf numFmtId="0" fontId="14" fillId="0" borderId="133" xfId="0" applyFont="1" applyBorder="1" applyAlignment="1">
      <alignment horizontal="center" vertical="center" wrapText="1"/>
    </xf>
    <xf numFmtId="0" fontId="101" fillId="0" borderId="133" xfId="0" applyFont="1" applyBorder="1" applyAlignment="1">
      <alignment horizontal="center" vertical="center"/>
    </xf>
    <xf numFmtId="164" fontId="9" fillId="2" borderId="133" xfId="3" applyNumberFormat="1" applyFont="1" applyFill="1" applyBorder="1" applyAlignment="1">
      <alignment vertical="center" wrapText="1"/>
    </xf>
    <xf numFmtId="164" fontId="14" fillId="2" borderId="133" xfId="3" applyNumberFormat="1" applyFont="1" applyFill="1" applyBorder="1" applyAlignment="1">
      <alignment vertical="center" wrapText="1"/>
    </xf>
    <xf numFmtId="168" fontId="9" fillId="0" borderId="133" xfId="0" applyNumberFormat="1" applyFont="1" applyBorder="1" applyAlignment="1">
      <alignment horizontal="right" vertical="center" wrapText="1"/>
    </xf>
    <xf numFmtId="0" fontId="9" fillId="0" borderId="133" xfId="0" applyFont="1" applyBorder="1" applyAlignment="1">
      <alignment horizontal="center" vertical="center" wrapText="1"/>
    </xf>
    <xf numFmtId="0" fontId="14" fillId="4" borderId="134" xfId="0" applyFont="1" applyFill="1" applyBorder="1" applyAlignment="1">
      <alignment horizontal="center" vertical="center" wrapText="1"/>
    </xf>
    <xf numFmtId="164" fontId="14" fillId="4" borderId="133" xfId="3" applyNumberFormat="1" applyFont="1" applyFill="1" applyBorder="1" applyAlignment="1">
      <alignment vertical="center" wrapText="1"/>
    </xf>
    <xf numFmtId="168" fontId="9" fillId="0" borderId="133" xfId="0" applyNumberFormat="1" applyFont="1" applyBorder="1" applyAlignment="1">
      <alignment vertical="center"/>
    </xf>
    <xf numFmtId="0" fontId="101" fillId="0" borderId="135" xfId="0" applyFont="1" applyBorder="1" applyAlignment="1">
      <alignment vertical="center" wrapText="1"/>
    </xf>
    <xf numFmtId="0" fontId="9" fillId="0" borderId="136" xfId="0" applyFont="1" applyBorder="1" applyAlignment="1">
      <alignment vertical="center" wrapText="1"/>
    </xf>
    <xf numFmtId="0" fontId="9" fillId="0" borderId="136" xfId="0" applyFont="1" applyBorder="1" applyAlignment="1">
      <alignment horizontal="center" vertical="center" wrapText="1"/>
    </xf>
    <xf numFmtId="168" fontId="9" fillId="0" borderId="133" xfId="0" applyNumberFormat="1" applyFont="1" applyBorder="1" applyAlignment="1">
      <alignment vertical="center" wrapText="1"/>
    </xf>
    <xf numFmtId="0" fontId="9" fillId="0" borderId="137" xfId="0" applyFont="1" applyBorder="1" applyAlignment="1">
      <alignment vertical="center" wrapText="1"/>
    </xf>
    <xf numFmtId="0" fontId="9" fillId="10" borderId="138" xfId="0" applyFont="1" applyFill="1" applyBorder="1" applyAlignment="1">
      <alignment vertical="center" wrapText="1"/>
    </xf>
    <xf numFmtId="0" fontId="9" fillId="10" borderId="138" xfId="0" applyFont="1" applyFill="1" applyBorder="1" applyAlignment="1">
      <alignment horizontal="center" vertical="center" wrapText="1"/>
    </xf>
    <xf numFmtId="0" fontId="9" fillId="10" borderId="138" xfId="0" applyFont="1" applyFill="1" applyBorder="1" applyAlignment="1">
      <alignment horizontal="center" vertical="center"/>
    </xf>
    <xf numFmtId="0" fontId="9" fillId="10" borderId="138" xfId="0" applyFont="1" applyFill="1" applyBorder="1" applyAlignment="1">
      <alignment vertical="center"/>
    </xf>
    <xf numFmtId="168" fontId="9" fillId="10" borderId="138" xfId="0" applyNumberFormat="1" applyFont="1" applyFill="1" applyBorder="1" applyAlignment="1">
      <alignment vertical="center"/>
    </xf>
    <xf numFmtId="168" fontId="9" fillId="10" borderId="138" xfId="0" applyNumberFormat="1" applyFont="1" applyFill="1" applyBorder="1" applyAlignment="1">
      <alignment horizontal="right" vertical="center"/>
    </xf>
    <xf numFmtId="0" fontId="113" fillId="10" borderId="133" xfId="0" applyFont="1" applyFill="1" applyBorder="1" applyAlignment="1">
      <alignment horizontal="center" vertical="center"/>
    </xf>
    <xf numFmtId="0" fontId="105" fillId="0" borderId="133" xfId="0" applyFont="1" applyBorder="1" applyAlignment="1">
      <alignment vertical="center"/>
    </xf>
    <xf numFmtId="0" fontId="9" fillId="10" borderId="95" xfId="0" applyFont="1" applyFill="1" applyBorder="1" applyAlignment="1">
      <alignment vertical="center" wrapText="1"/>
    </xf>
    <xf numFmtId="0" fontId="9" fillId="10" borderId="95" xfId="0" applyFont="1" applyFill="1" applyBorder="1" applyAlignment="1">
      <alignment horizontal="center" vertical="center" wrapText="1"/>
    </xf>
    <xf numFmtId="0" fontId="9" fillId="10" borderId="95" xfId="0" applyFont="1" applyFill="1" applyBorder="1" applyAlignment="1">
      <alignment vertical="center"/>
    </xf>
    <xf numFmtId="168" fontId="9" fillId="10" borderId="95" xfId="0" applyNumberFormat="1" applyFont="1" applyFill="1" applyBorder="1" applyAlignment="1">
      <alignment horizontal="right" vertical="center"/>
    </xf>
    <xf numFmtId="0" fontId="9" fillId="10" borderId="95" xfId="0" applyFont="1" applyFill="1" applyBorder="1" applyAlignment="1">
      <alignment horizontal="center" vertical="center"/>
    </xf>
    <xf numFmtId="0" fontId="9" fillId="10" borderId="96" xfId="0" applyFont="1" applyFill="1" applyBorder="1" applyAlignment="1">
      <alignment vertical="center" wrapText="1"/>
    </xf>
    <xf numFmtId="0" fontId="9" fillId="10" borderId="96" xfId="0" applyFont="1" applyFill="1" applyBorder="1" applyAlignment="1">
      <alignment horizontal="center" vertical="center" wrapText="1"/>
    </xf>
    <xf numFmtId="0" fontId="9" fillId="10" borderId="96" xfId="0" applyFont="1" applyFill="1" applyBorder="1" applyAlignment="1">
      <alignment vertical="center"/>
    </xf>
    <xf numFmtId="168" fontId="9" fillId="10" borderId="96" xfId="0" applyNumberFormat="1" applyFont="1" applyFill="1" applyBorder="1" applyAlignment="1">
      <alignment horizontal="right" vertical="center"/>
    </xf>
    <xf numFmtId="0" fontId="9" fillId="10" borderId="96" xfId="0" applyFont="1" applyFill="1" applyBorder="1" applyAlignment="1">
      <alignment horizontal="center" vertical="center"/>
    </xf>
    <xf numFmtId="168" fontId="105" fillId="4" borderId="133" xfId="0" applyNumberFormat="1" applyFont="1" applyFill="1" applyBorder="1" applyAlignment="1">
      <alignment vertical="center"/>
    </xf>
    <xf numFmtId="0" fontId="14" fillId="0" borderId="135" xfId="0" applyFont="1" applyBorder="1" applyAlignment="1">
      <alignment vertical="center" wrapText="1"/>
    </xf>
    <xf numFmtId="0" fontId="14" fillId="0" borderId="136" xfId="0" applyFont="1" applyBorder="1" applyAlignment="1">
      <alignment vertical="center" wrapText="1"/>
    </xf>
    <xf numFmtId="0" fontId="14" fillId="0" borderId="136" xfId="0" applyFont="1" applyBorder="1" applyAlignment="1">
      <alignment horizontal="center" vertical="center" wrapText="1"/>
    </xf>
    <xf numFmtId="168" fontId="14" fillId="0" borderId="133" xfId="0" applyNumberFormat="1" applyFont="1" applyBorder="1" applyAlignment="1">
      <alignment vertical="center" wrapText="1"/>
    </xf>
    <xf numFmtId="0" fontId="14" fillId="0" borderId="137" xfId="0" applyFont="1" applyBorder="1" applyAlignment="1">
      <alignment vertical="center" wrapText="1"/>
    </xf>
    <xf numFmtId="0" fontId="9" fillId="0" borderId="138" xfId="0" applyFont="1" applyBorder="1" applyAlignment="1">
      <alignment vertical="center" wrapText="1"/>
    </xf>
    <xf numFmtId="0" fontId="9" fillId="0" borderId="138" xfId="0" applyFont="1" applyBorder="1" applyAlignment="1">
      <alignment horizontal="center" vertical="center" wrapText="1"/>
    </xf>
    <xf numFmtId="0" fontId="9" fillId="0" borderId="138" xfId="0" applyFont="1" applyBorder="1" applyAlignment="1">
      <alignment horizontal="center" vertical="center"/>
    </xf>
    <xf numFmtId="0" fontId="9" fillId="0" borderId="138" xfId="0" applyFont="1" applyBorder="1" applyAlignment="1">
      <alignment vertical="center"/>
    </xf>
    <xf numFmtId="168" fontId="9" fillId="0" borderId="138" xfId="0" applyNumberFormat="1" applyFont="1" applyBorder="1" applyAlignment="1">
      <alignment vertical="center"/>
    </xf>
    <xf numFmtId="168" fontId="9" fillId="0" borderId="138" xfId="0" applyNumberFormat="1" applyFont="1" applyBorder="1" applyAlignment="1">
      <alignment horizontal="right" vertical="center"/>
    </xf>
    <xf numFmtId="0" fontId="9" fillId="0" borderId="95" xfId="0" applyFont="1" applyBorder="1" applyAlignment="1">
      <alignment vertical="center" wrapText="1"/>
    </xf>
    <xf numFmtId="0" fontId="9" fillId="0" borderId="95" xfId="0" applyFont="1" applyBorder="1" applyAlignment="1">
      <alignment horizontal="center" vertical="center" wrapText="1"/>
    </xf>
    <xf numFmtId="168" fontId="9" fillId="0" borderId="95" xfId="0" applyNumberFormat="1" applyFont="1" applyBorder="1" applyAlignment="1">
      <alignment horizontal="right" vertical="center"/>
    </xf>
    <xf numFmtId="0" fontId="9" fillId="0" borderId="96" xfId="0" applyFont="1" applyBorder="1" applyAlignment="1">
      <alignment vertical="center" wrapText="1"/>
    </xf>
    <xf numFmtId="0" fontId="9" fillId="0" borderId="96" xfId="0" applyFont="1" applyBorder="1" applyAlignment="1">
      <alignment horizontal="center" vertical="center" wrapText="1"/>
    </xf>
    <xf numFmtId="0" fontId="9" fillId="0" borderId="96" xfId="0" applyFont="1" applyBorder="1" applyAlignment="1">
      <alignment vertical="center"/>
    </xf>
    <xf numFmtId="168" fontId="9" fillId="0" borderId="96" xfId="0" applyNumberFormat="1" applyFont="1" applyBorder="1" applyAlignment="1">
      <alignment horizontal="right" vertical="center"/>
    </xf>
    <xf numFmtId="0" fontId="9" fillId="0" borderId="96" xfId="0" applyFont="1" applyBorder="1" applyAlignment="1">
      <alignment horizontal="center" vertical="center"/>
    </xf>
    <xf numFmtId="0" fontId="9" fillId="0" borderId="133" xfId="0" applyFont="1" applyBorder="1" applyAlignment="1">
      <alignment horizontal="center" vertical="center"/>
    </xf>
    <xf numFmtId="0" fontId="9" fillId="0" borderId="133" xfId="0" applyFont="1" applyBorder="1" applyAlignment="1">
      <alignment vertical="center"/>
    </xf>
    <xf numFmtId="168" fontId="9" fillId="0" borderId="133" xfId="0" applyNumberFormat="1" applyFont="1" applyBorder="1" applyAlignment="1">
      <alignment horizontal="right" vertical="center"/>
    </xf>
    <xf numFmtId="164" fontId="9" fillId="0" borderId="133" xfId="1" applyNumberFormat="1" applyFont="1" applyBorder="1" applyAlignment="1">
      <alignment horizontal="center" vertical="center"/>
    </xf>
    <xf numFmtId="0" fontId="14" fillId="0" borderId="138" xfId="0" applyFont="1" applyBorder="1" applyAlignment="1">
      <alignment vertical="center" wrapText="1"/>
    </xf>
    <xf numFmtId="0" fontId="12" fillId="0" borderId="55" xfId="0" applyFont="1" applyFill="1" applyBorder="1" applyAlignment="1">
      <alignment horizontal="justify" vertical="top" wrapText="1"/>
    </xf>
    <xf numFmtId="0" fontId="9" fillId="0" borderId="139" xfId="5" applyFont="1" applyBorder="1" applyAlignment="1">
      <alignment horizontal="center" vertical="center" wrapText="1"/>
    </xf>
    <xf numFmtId="0" fontId="9" fillId="0" borderId="71" xfId="5" applyFont="1" applyBorder="1" applyAlignment="1">
      <alignment vertical="center" wrapText="1"/>
    </xf>
    <xf numFmtId="0" fontId="9" fillId="0" borderId="134" xfId="5" applyFont="1" applyBorder="1" applyAlignment="1">
      <alignment wrapText="1"/>
    </xf>
    <xf numFmtId="0" fontId="9" fillId="0" borderId="99" xfId="5" applyFont="1" applyBorder="1" applyAlignment="1">
      <alignment horizontal="center" vertical="center" wrapText="1"/>
    </xf>
    <xf numFmtId="0" fontId="35" fillId="0" borderId="0" xfId="0" applyFont="1" applyAlignment="1">
      <alignment horizontal="center" vertical="center"/>
    </xf>
    <xf numFmtId="0" fontId="13" fillId="0" borderId="58" xfId="0" applyFont="1" applyBorder="1" applyAlignment="1">
      <alignment horizontal="center" vertical="center" wrapText="1"/>
    </xf>
    <xf numFmtId="3" fontId="13" fillId="0" borderId="55" xfId="0" applyNumberFormat="1" applyFont="1" applyBorder="1" applyAlignment="1">
      <alignment horizontal="center" vertical="center" wrapText="1"/>
    </xf>
    <xf numFmtId="3" fontId="12" fillId="0" borderId="55" xfId="0" applyNumberFormat="1" applyFont="1" applyBorder="1" applyAlignment="1">
      <alignment horizontal="center" vertical="center" wrapText="1"/>
    </xf>
    <xf numFmtId="41" fontId="13" fillId="0" borderId="55" xfId="0" applyNumberFormat="1" applyFont="1" applyBorder="1" applyAlignment="1">
      <alignment horizontal="center" vertical="center" wrapText="1"/>
    </xf>
    <xf numFmtId="3" fontId="12" fillId="0" borderId="55" xfId="0" applyNumberFormat="1" applyFont="1" applyFill="1" applyBorder="1" applyAlignment="1">
      <alignment horizontal="center" vertical="center" wrapText="1"/>
    </xf>
    <xf numFmtId="0" fontId="47" fillId="0" borderId="55" xfId="0" applyFont="1" applyBorder="1" applyAlignment="1">
      <alignment horizontal="center" vertical="center" wrapText="1"/>
    </xf>
    <xf numFmtId="0" fontId="48" fillId="0" borderId="55" xfId="0" applyFont="1" applyBorder="1" applyAlignment="1">
      <alignment horizontal="center" vertical="center" wrapText="1"/>
    </xf>
    <xf numFmtId="3" fontId="12" fillId="0" borderId="55" xfId="5" applyNumberFormat="1" applyFont="1" applyBorder="1" applyAlignment="1">
      <alignment horizontal="center" vertical="center" wrapText="1"/>
    </xf>
    <xf numFmtId="3" fontId="27" fillId="0" borderId="55" xfId="0" applyNumberFormat="1" applyFont="1" applyBorder="1" applyAlignment="1">
      <alignment horizontal="center" vertical="center" wrapText="1"/>
    </xf>
    <xf numFmtId="3" fontId="12" fillId="0" borderId="69" xfId="0" applyNumberFormat="1" applyFont="1" applyFill="1" applyBorder="1" applyAlignment="1">
      <alignment horizontal="center" vertical="center" wrapText="1"/>
    </xf>
    <xf numFmtId="3" fontId="13" fillId="0" borderId="104" xfId="0" applyNumberFormat="1" applyFont="1" applyBorder="1" applyAlignment="1">
      <alignment horizontal="center" vertical="center" wrapText="1"/>
    </xf>
    <xf numFmtId="0" fontId="26" fillId="0" borderId="95" xfId="0" applyFont="1" applyBorder="1" applyAlignment="1">
      <alignment horizontal="justify" vertical="center" wrapText="1"/>
    </xf>
    <xf numFmtId="0" fontId="27" fillId="0" borderId="95" xfId="0" applyFont="1" applyBorder="1" applyAlignment="1">
      <alignment horizontal="justify" vertical="center" wrapText="1"/>
    </xf>
    <xf numFmtId="0" fontId="13" fillId="0" borderId="95" xfId="0" applyFont="1" applyBorder="1" applyAlignment="1">
      <alignment horizontal="justify" vertical="center" wrapText="1"/>
    </xf>
    <xf numFmtId="0" fontId="5" fillId="0" borderId="133" xfId="0" applyFont="1" applyBorder="1" applyAlignment="1">
      <alignment horizontal="center" vertical="center" wrapText="1"/>
    </xf>
    <xf numFmtId="0" fontId="5" fillId="0" borderId="133" xfId="0" applyFont="1" applyBorder="1" applyAlignment="1">
      <alignment vertical="center" wrapText="1"/>
    </xf>
    <xf numFmtId="0" fontId="5" fillId="0" borderId="133" xfId="0" applyFont="1" applyBorder="1" applyAlignment="1">
      <alignment vertical="center"/>
    </xf>
    <xf numFmtId="0" fontId="6" fillId="0" borderId="133" xfId="0" applyFont="1" applyBorder="1" applyAlignment="1">
      <alignment vertical="center" wrapText="1"/>
    </xf>
    <xf numFmtId="0" fontId="2" fillId="0" borderId="133" xfId="0" applyFont="1" applyBorder="1" applyAlignment="1">
      <alignment vertical="center"/>
    </xf>
    <xf numFmtId="0" fontId="1" fillId="0" borderId="133" xfId="0" applyFont="1" applyBorder="1" applyAlignment="1">
      <alignment vertical="center" wrapText="1"/>
    </xf>
    <xf numFmtId="0" fontId="5" fillId="0" borderId="133" xfId="0" applyFont="1" applyBorder="1" applyAlignment="1">
      <alignment horizontal="center" vertical="top" wrapText="1"/>
    </xf>
    <xf numFmtId="0" fontId="5" fillId="0" borderId="133" xfId="0" applyFont="1" applyBorder="1" applyAlignment="1">
      <alignment horizontal="justify" vertical="top" wrapText="1"/>
    </xf>
    <xf numFmtId="0" fontId="25" fillId="0" borderId="133" xfId="5" applyFont="1" applyBorder="1" applyAlignment="1">
      <alignment vertical="center" wrapText="1"/>
    </xf>
    <xf numFmtId="0" fontId="25" fillId="0" borderId="133" xfId="5" applyFont="1" applyBorder="1" applyAlignment="1">
      <alignment horizontal="center" vertical="center" wrapText="1"/>
    </xf>
    <xf numFmtId="0" fontId="9" fillId="0" borderId="140" xfId="0" applyFont="1" applyBorder="1" applyAlignment="1">
      <alignment vertical="center" wrapText="1"/>
    </xf>
    <xf numFmtId="0" fontId="25" fillId="0" borderId="133" xfId="0" applyFont="1" applyBorder="1" applyAlignment="1">
      <alignment wrapText="1"/>
    </xf>
    <xf numFmtId="0" fontId="21" fillId="0" borderId="133" xfId="0" applyFont="1" applyBorder="1" applyAlignment="1">
      <alignment vertical="center" wrapText="1"/>
    </xf>
    <xf numFmtId="17" fontId="25" fillId="0" borderId="133" xfId="5" applyNumberFormat="1" applyFont="1" applyBorder="1" applyAlignment="1">
      <alignment horizontal="center" vertical="center" wrapText="1"/>
    </xf>
    <xf numFmtId="0" fontId="25" fillId="0" borderId="55" xfId="0" applyFont="1" applyFill="1" applyBorder="1" applyAlignment="1">
      <alignment vertical="center"/>
    </xf>
    <xf numFmtId="41" fontId="25" fillId="0" borderId="55" xfId="2" applyFont="1" applyFill="1" applyBorder="1" applyAlignment="1">
      <alignment vertical="center"/>
    </xf>
    <xf numFmtId="0" fontId="25" fillId="0" borderId="23" xfId="0" applyFont="1" applyFill="1" applyBorder="1" applyAlignment="1">
      <alignment vertical="center" wrapText="1"/>
    </xf>
    <xf numFmtId="0" fontId="30" fillId="0" borderId="31" xfId="0" applyFont="1" applyFill="1" applyBorder="1" applyAlignment="1">
      <alignment horizontal="center" vertical="center"/>
    </xf>
    <xf numFmtId="0" fontId="25" fillId="0" borderId="61" xfId="0" applyFont="1" applyFill="1" applyBorder="1" applyAlignment="1">
      <alignment vertical="center" wrapText="1"/>
    </xf>
    <xf numFmtId="0" fontId="25" fillId="0" borderId="32" xfId="0" applyFont="1" applyFill="1" applyBorder="1" applyAlignment="1">
      <alignment vertical="center" wrapText="1"/>
    </xf>
    <xf numFmtId="0" fontId="14" fillId="0" borderId="0" xfId="5" applyFont="1" applyAlignment="1">
      <alignment horizontal="center" wrapText="1"/>
    </xf>
    <xf numFmtId="0" fontId="33" fillId="0" borderId="141" xfId="0" applyFont="1" applyBorder="1" applyAlignment="1">
      <alignment horizontal="center" vertical="center" wrapText="1"/>
    </xf>
    <xf numFmtId="0" fontId="21" fillId="0" borderId="141" xfId="0" applyFont="1" applyBorder="1" applyAlignment="1">
      <alignment horizontal="center" vertical="center" wrapText="1"/>
    </xf>
    <xf numFmtId="0" fontId="22" fillId="0" borderId="141" xfId="0" applyFont="1" applyBorder="1" applyAlignment="1">
      <alignment vertical="center"/>
    </xf>
    <xf numFmtId="166" fontId="22" fillId="0" borderId="141" xfId="0" applyNumberFormat="1" applyFont="1" applyBorder="1" applyAlignment="1">
      <alignment vertical="center"/>
    </xf>
    <xf numFmtId="0" fontId="21" fillId="0" borderId="142" xfId="0" applyFont="1" applyBorder="1" applyAlignment="1">
      <alignment vertical="center"/>
    </xf>
    <xf numFmtId="0" fontId="22" fillId="0" borderId="143" xfId="0" applyFont="1" applyBorder="1" applyAlignment="1">
      <alignment horizontal="center" vertical="center" wrapText="1"/>
    </xf>
    <xf numFmtId="0" fontId="22" fillId="0" borderId="144" xfId="0" applyFont="1" applyBorder="1" applyAlignment="1">
      <alignment horizontal="justify" vertical="center" wrapText="1"/>
    </xf>
    <xf numFmtId="0" fontId="22" fillId="0" borderId="144" xfId="0" applyFont="1" applyBorder="1" applyAlignment="1">
      <alignment horizontal="center" vertical="center" wrapText="1"/>
    </xf>
    <xf numFmtId="0" fontId="22" fillId="0" borderId="144" xfId="0" applyFont="1" applyBorder="1" applyAlignment="1">
      <alignment vertical="center"/>
    </xf>
    <xf numFmtId="0" fontId="22" fillId="0" borderId="145" xfId="0" applyFont="1" applyBorder="1" applyAlignment="1">
      <alignment vertical="center"/>
    </xf>
    <xf numFmtId="0" fontId="22" fillId="0" borderId="146" xfId="0" applyFont="1" applyBorder="1" applyAlignment="1">
      <alignment horizontal="center" vertical="center" wrapText="1"/>
    </xf>
    <xf numFmtId="0" fontId="7" fillId="0" borderId="95" xfId="0" applyFont="1" applyBorder="1" applyAlignment="1">
      <alignment horizontal="justify" vertical="top" wrapText="1"/>
    </xf>
    <xf numFmtId="0" fontId="7" fillId="0" borderId="95" xfId="0" applyFont="1" applyBorder="1" applyAlignment="1">
      <alignment horizontal="center" vertical="top" wrapText="1"/>
    </xf>
    <xf numFmtId="0" fontId="5" fillId="0" borderId="147" xfId="0" applyFont="1" applyBorder="1" applyAlignment="1">
      <alignment horizontal="center" vertical="top"/>
    </xf>
    <xf numFmtId="0" fontId="7" fillId="0" borderId="95" xfId="0" applyFont="1" applyBorder="1" applyAlignment="1">
      <alignment vertical="top"/>
    </xf>
    <xf numFmtId="0" fontId="7" fillId="0" borderId="148" xfId="0" applyFont="1" applyBorder="1" applyAlignment="1">
      <alignment horizontal="left" vertical="top"/>
    </xf>
    <xf numFmtId="0" fontId="5" fillId="0" borderId="148" xfId="0" applyFont="1" applyBorder="1" applyAlignment="1">
      <alignment horizontal="left" vertical="top"/>
    </xf>
    <xf numFmtId="0" fontId="5" fillId="0" borderId="95" xfId="0" applyFont="1" applyBorder="1" applyAlignment="1">
      <alignment horizontal="center" vertical="top"/>
    </xf>
    <xf numFmtId="0" fontId="5" fillId="3" borderId="148" xfId="0" applyFont="1" applyFill="1" applyBorder="1" applyAlignment="1">
      <alignment horizontal="left" vertical="top"/>
    </xf>
    <xf numFmtId="0" fontId="5" fillId="0" borderId="149" xfId="0" applyFont="1" applyBorder="1" applyAlignment="1">
      <alignment vertical="top"/>
    </xf>
    <xf numFmtId="0" fontId="5" fillId="0" borderId="95" xfId="0" applyFont="1" applyBorder="1" applyAlignment="1">
      <alignment horizontal="left" vertical="top"/>
    </xf>
    <xf numFmtId="0" fontId="22" fillId="0" borderId="151" xfId="0" applyFont="1" applyBorder="1" applyAlignment="1">
      <alignment horizontal="center" vertical="center" wrapText="1"/>
    </xf>
    <xf numFmtId="0" fontId="5" fillId="0" borderId="152" xfId="0" applyFont="1" applyBorder="1" applyAlignment="1">
      <alignment vertical="top"/>
    </xf>
    <xf numFmtId="0" fontId="5" fillId="0" borderId="96" xfId="0" applyFont="1" applyBorder="1" applyAlignment="1">
      <alignment horizontal="center" vertical="top"/>
    </xf>
    <xf numFmtId="0" fontId="7" fillId="0" borderId="96" xfId="0" applyFont="1" applyBorder="1" applyAlignment="1">
      <alignment vertical="top"/>
    </xf>
    <xf numFmtId="0" fontId="5" fillId="0" borderId="96" xfId="0" applyFont="1" applyBorder="1" applyAlignment="1">
      <alignment horizontal="left" vertical="top"/>
    </xf>
    <xf numFmtId="0" fontId="5" fillId="4" borderId="133" xfId="0" applyFont="1" applyFill="1" applyBorder="1" applyAlignment="1">
      <alignment vertical="center" wrapText="1"/>
    </xf>
    <xf numFmtId="0" fontId="5" fillId="4" borderId="133" xfId="0" applyFont="1" applyFill="1" applyBorder="1" applyAlignment="1">
      <alignment horizontal="center" vertical="center" wrapText="1"/>
    </xf>
    <xf numFmtId="0" fontId="5" fillId="0" borderId="133" xfId="0" applyFont="1" applyFill="1" applyBorder="1" applyAlignment="1">
      <alignment horizontal="center" vertical="center" wrapText="1"/>
    </xf>
    <xf numFmtId="0" fontId="25" fillId="0" borderId="22" xfId="0" applyFont="1" applyFill="1" applyBorder="1" applyAlignment="1">
      <alignment horizontal="center" vertical="center"/>
    </xf>
    <xf numFmtId="0" fontId="25" fillId="0" borderId="55" xfId="0" applyFont="1" applyFill="1" applyBorder="1" applyAlignment="1">
      <alignment vertical="center" wrapText="1"/>
    </xf>
    <xf numFmtId="164" fontId="25" fillId="0" borderId="55" xfId="1" applyNumberFormat="1" applyFont="1" applyFill="1" applyBorder="1" applyAlignment="1">
      <alignment vertical="center"/>
    </xf>
    <xf numFmtId="0" fontId="55" fillId="0" borderId="23" xfId="0" applyFont="1" applyFill="1" applyBorder="1" applyAlignment="1">
      <alignment vertical="center" wrapText="1"/>
    </xf>
    <xf numFmtId="1" fontId="21" fillId="5" borderId="101" xfId="0" applyNumberFormat="1" applyFont="1" applyFill="1" applyBorder="1" applyAlignment="1">
      <alignment vertical="center" wrapText="1"/>
    </xf>
    <xf numFmtId="166" fontId="21" fillId="5" borderId="75" xfId="0" applyNumberFormat="1" applyFont="1" applyFill="1" applyBorder="1" applyAlignment="1">
      <alignment horizontal="center" vertical="center" wrapText="1"/>
    </xf>
    <xf numFmtId="0" fontId="21" fillId="5" borderId="102" xfId="0" applyFont="1" applyFill="1" applyBorder="1" applyAlignment="1">
      <alignment horizontal="center" vertical="center"/>
    </xf>
    <xf numFmtId="0" fontId="59" fillId="0" borderId="0" xfId="0" applyFont="1" applyFill="1" applyAlignment="1">
      <alignment vertical="center"/>
    </xf>
    <xf numFmtId="164" fontId="22" fillId="0" borderId="133" xfId="1" applyNumberFormat="1" applyFont="1" applyBorder="1" applyAlignment="1">
      <alignment horizontal="center" vertical="center" wrapText="1"/>
    </xf>
    <xf numFmtId="164" fontId="21" fillId="0" borderId="133" xfId="1" applyNumberFormat="1" applyFont="1" applyBorder="1" applyAlignment="1">
      <alignment horizontal="left" vertical="center" wrapText="1"/>
    </xf>
    <xf numFmtId="0" fontId="12" fillId="0" borderId="0" xfId="5" applyFont="1" applyAlignment="1"/>
    <xf numFmtId="41" fontId="14" fillId="0" borderId="55" xfId="2" applyFont="1" applyBorder="1" applyAlignment="1">
      <alignment vertical="center"/>
    </xf>
    <xf numFmtId="0" fontId="27" fillId="0" borderId="55" xfId="5" applyFont="1" applyBorder="1" applyAlignment="1">
      <alignment horizontal="justify" vertical="top" wrapText="1"/>
    </xf>
    <xf numFmtId="0" fontId="27" fillId="0" borderId="55" xfId="0" applyFont="1" applyBorder="1" applyAlignment="1">
      <alignment horizontal="justify" vertical="top" wrapText="1"/>
    </xf>
    <xf numFmtId="0" fontId="27" fillId="0" borderId="23" xfId="0" applyFont="1" applyBorder="1" applyAlignment="1">
      <alignment vertical="top"/>
    </xf>
    <xf numFmtId="49" fontId="12" fillId="0" borderId="22" xfId="5" applyNumberFormat="1" applyFont="1" applyBorder="1" applyAlignment="1">
      <alignment horizontal="center" vertical="top" wrapText="1"/>
    </xf>
    <xf numFmtId="0" fontId="63" fillId="0" borderId="55" xfId="0" applyFont="1" applyFill="1" applyBorder="1" applyAlignment="1">
      <alignment horizontal="justify" vertical="center"/>
    </xf>
    <xf numFmtId="0" fontId="12" fillId="0" borderId="55" xfId="5" applyFont="1" applyFill="1" applyBorder="1" applyAlignment="1">
      <alignment horizontal="justify" vertical="top" wrapText="1"/>
    </xf>
    <xf numFmtId="3" fontId="12" fillId="0" borderId="55" xfId="5" applyNumberFormat="1" applyFont="1" applyFill="1" applyBorder="1" applyAlignment="1">
      <alignment horizontal="center" vertical="center" wrapText="1"/>
    </xf>
    <xf numFmtId="0" fontId="12" fillId="0" borderId="22" xfId="0" applyFont="1" applyFill="1" applyBorder="1" applyAlignment="1">
      <alignment horizontal="center" vertical="top" wrapText="1"/>
    </xf>
    <xf numFmtId="0" fontId="5" fillId="0" borderId="55" xfId="0" applyFont="1" applyFill="1" applyBorder="1" applyAlignment="1">
      <alignment horizontal="justify" vertical="center"/>
    </xf>
    <xf numFmtId="0" fontId="12" fillId="0" borderId="153" xfId="0" applyFont="1" applyBorder="1" applyAlignment="1">
      <alignment horizontal="left" vertical="center"/>
    </xf>
    <xf numFmtId="0" fontId="12" fillId="0" borderId="130" xfId="0" applyFont="1" applyBorder="1" applyAlignment="1">
      <alignment horizontal="left" vertical="center" wrapText="1"/>
    </xf>
    <xf numFmtId="0" fontId="12" fillId="0" borderId="130" xfId="0" applyFont="1" applyBorder="1" applyAlignment="1">
      <alignment horizontal="left" vertical="center"/>
    </xf>
    <xf numFmtId="3" fontId="12" fillId="0" borderId="130" xfId="0" applyNumberFormat="1" applyFont="1" applyFill="1" applyBorder="1" applyAlignment="1">
      <alignment horizontal="center" vertical="center" wrapText="1"/>
    </xf>
    <xf numFmtId="0" fontId="9" fillId="0" borderId="0" xfId="0" applyFont="1" applyAlignment="1"/>
    <xf numFmtId="0" fontId="14" fillId="0" borderId="0" xfId="0" applyFont="1" applyAlignment="1">
      <alignment horizontal="center" vertical="center"/>
    </xf>
    <xf numFmtId="0" fontId="6" fillId="0" borderId="154" xfId="0" applyFont="1" applyBorder="1" applyAlignment="1">
      <alignment horizontal="center" vertical="center" wrapText="1"/>
    </xf>
    <xf numFmtId="0" fontId="6" fillId="0" borderId="155" xfId="0" applyFont="1" applyBorder="1" applyAlignment="1">
      <alignment horizontal="justify" vertical="center" wrapText="1"/>
    </xf>
    <xf numFmtId="0" fontId="5" fillId="0" borderId="155" xfId="0" applyFont="1" applyBorder="1" applyAlignment="1">
      <alignment horizontal="center" vertical="center" wrapText="1"/>
    </xf>
    <xf numFmtId="0" fontId="6" fillId="0" borderId="155" xfId="0" applyFont="1" applyBorder="1" applyAlignment="1">
      <alignment horizontal="center" vertical="center" wrapText="1"/>
    </xf>
    <xf numFmtId="3" fontId="12" fillId="0" borderId="155" xfId="2" applyNumberFormat="1" applyFont="1" applyBorder="1" applyAlignment="1">
      <alignment horizontal="right" vertical="center" wrapText="1"/>
    </xf>
    <xf numFmtId="0" fontId="5" fillId="0" borderId="156" xfId="0" applyFont="1" applyBorder="1" applyAlignment="1">
      <alignment horizontal="center" vertical="center"/>
    </xf>
    <xf numFmtId="0" fontId="5" fillId="0" borderId="157" xfId="0" applyFont="1" applyBorder="1" applyAlignment="1">
      <alignment horizontal="center" vertical="center"/>
    </xf>
    <xf numFmtId="164" fontId="5" fillId="0" borderId="158" xfId="3" applyNumberFormat="1" applyFont="1" applyBorder="1" applyAlignment="1">
      <alignment horizontal="center" vertical="center" wrapText="1"/>
    </xf>
    <xf numFmtId="0" fontId="5" fillId="0" borderId="158" xfId="0" applyFont="1" applyBorder="1" applyAlignment="1">
      <alignment horizontal="center" vertical="center" wrapText="1"/>
    </xf>
    <xf numFmtId="3" fontId="5" fillId="0" borderId="158" xfId="0" applyNumberFormat="1" applyFont="1" applyBorder="1" applyAlignment="1">
      <alignment horizontal="center" vertical="center" wrapText="1"/>
    </xf>
    <xf numFmtId="164" fontId="5" fillId="0" borderId="159" xfId="3" applyNumberFormat="1" applyFont="1" applyBorder="1" applyAlignment="1">
      <alignment horizontal="center" vertical="center" wrapText="1"/>
    </xf>
    <xf numFmtId="0" fontId="5" fillId="0" borderId="158" xfId="0" applyFont="1" applyBorder="1" applyAlignment="1">
      <alignment vertical="center"/>
    </xf>
    <xf numFmtId="0" fontId="12" fillId="4" borderId="55" xfId="0" applyFont="1" applyFill="1" applyBorder="1" applyAlignment="1">
      <alignment horizontal="justify" vertical="top" wrapText="1"/>
    </xf>
    <xf numFmtId="0" fontId="22" fillId="0" borderId="0" xfId="0" applyFont="1" applyFill="1" applyAlignment="1">
      <alignment horizontal="center" wrapText="1"/>
    </xf>
    <xf numFmtId="0" fontId="27" fillId="4" borderId="0" xfId="0" applyFont="1" applyFill="1" applyAlignment="1">
      <alignment wrapText="1"/>
    </xf>
    <xf numFmtId="0" fontId="22" fillId="0" borderId="0" xfId="0" applyFont="1" applyAlignment="1">
      <alignment horizontal="center" vertical="center"/>
    </xf>
    <xf numFmtId="0" fontId="27" fillId="0" borderId="0" xfId="0" applyFont="1" applyAlignment="1">
      <alignment horizontal="center"/>
    </xf>
    <xf numFmtId="0" fontId="22" fillId="0" borderId="0" xfId="0" applyFont="1" applyAlignment="1">
      <alignment horizontal="center"/>
    </xf>
    <xf numFmtId="0" fontId="23" fillId="0" borderId="0" xfId="0" applyFont="1" applyBorder="1" applyAlignment="1">
      <alignment horizontal="center"/>
    </xf>
    <xf numFmtId="0" fontId="22" fillId="0" borderId="0" xfId="0" applyFont="1" applyFill="1" applyAlignment="1">
      <alignment horizontal="center" vertical="center" wrapText="1"/>
    </xf>
    <xf numFmtId="164" fontId="22" fillId="0" borderId="11" xfId="1" applyNumberFormat="1" applyFont="1" applyFill="1" applyBorder="1" applyAlignment="1">
      <alignment horizontal="center" vertical="center" wrapText="1"/>
    </xf>
    <xf numFmtId="164" fontId="22" fillId="0" borderId="75" xfId="1" applyNumberFormat="1" applyFont="1" applyFill="1" applyBorder="1" applyAlignment="1">
      <alignment horizontal="center" vertical="center" wrapText="1"/>
    </xf>
    <xf numFmtId="164" fontId="22" fillId="0" borderId="12" xfId="1" applyNumberFormat="1" applyFont="1" applyFill="1" applyBorder="1" applyAlignment="1">
      <alignment horizontal="center" vertical="center" wrapText="1"/>
    </xf>
    <xf numFmtId="164" fontId="22" fillId="0" borderId="102" xfId="1" applyNumberFormat="1" applyFont="1" applyFill="1" applyBorder="1" applyAlignment="1">
      <alignment horizontal="center" vertical="center" wrapText="1"/>
    </xf>
    <xf numFmtId="0" fontId="21" fillId="0" borderId="102" xfId="0" applyFont="1" applyFill="1" applyBorder="1" applyAlignment="1">
      <alignment horizontal="center" vertical="center" wrapText="1"/>
    </xf>
    <xf numFmtId="165" fontId="21" fillId="0" borderId="0" xfId="0" applyNumberFormat="1" applyFont="1" applyAlignment="1">
      <alignment horizontal="left" wrapText="1"/>
    </xf>
    <xf numFmtId="0" fontId="21" fillId="0" borderId="0" xfId="0" applyFont="1" applyFill="1" applyBorder="1" applyAlignment="1">
      <alignment horizontal="center"/>
    </xf>
    <xf numFmtId="0" fontId="23" fillId="0" borderId="0" xfId="0" applyFont="1" applyFill="1" applyBorder="1" applyAlignment="1">
      <alignment horizontal="center" wrapText="1"/>
    </xf>
    <xf numFmtId="0" fontId="22" fillId="0" borderId="0" xfId="0" applyFont="1" applyAlignment="1">
      <alignment horizontal="left" wrapText="1"/>
    </xf>
    <xf numFmtId="0" fontId="21" fillId="0" borderId="0" xfId="0" applyFont="1" applyAlignment="1">
      <alignment horizontal="left" wrapText="1"/>
    </xf>
    <xf numFmtId="164" fontId="51" fillId="0" borderId="11" xfId="1" applyNumberFormat="1" applyFont="1" applyFill="1" applyBorder="1" applyAlignment="1">
      <alignment horizontal="center" vertical="center" wrapText="1"/>
    </xf>
    <xf numFmtId="164" fontId="51" fillId="0" borderId="75" xfId="1" applyNumberFormat="1" applyFont="1" applyFill="1" applyBorder="1" applyAlignment="1">
      <alignment horizontal="center" vertical="center" wrapText="1"/>
    </xf>
    <xf numFmtId="0" fontId="21" fillId="0" borderId="0" xfId="0" applyFont="1" applyFill="1" applyAlignment="1">
      <alignment horizontal="center"/>
    </xf>
    <xf numFmtId="0" fontId="22" fillId="0" borderId="0" xfId="0" applyFont="1" applyFill="1" applyAlignment="1">
      <alignment horizontal="center"/>
    </xf>
    <xf numFmtId="0" fontId="24" fillId="0" borderId="0" xfId="0" applyFont="1" applyFill="1" applyAlignment="1">
      <alignment horizontal="center" vertical="center"/>
    </xf>
    <xf numFmtId="164" fontId="22" fillId="0" borderId="10" xfId="1" applyNumberFormat="1" applyFont="1" applyFill="1" applyBorder="1" applyAlignment="1">
      <alignment horizontal="center" vertical="center" wrapText="1"/>
    </xf>
    <xf numFmtId="164" fontId="22" fillId="0" borderId="101" xfId="1" applyNumberFormat="1" applyFont="1" applyFill="1" applyBorder="1" applyAlignment="1">
      <alignment horizontal="center" vertical="center" wrapText="1"/>
    </xf>
    <xf numFmtId="165" fontId="21" fillId="0" borderId="0" xfId="0" applyNumberFormat="1" applyFont="1" applyFill="1" applyAlignment="1">
      <alignment horizontal="left" wrapText="1"/>
    </xf>
    <xf numFmtId="165" fontId="21" fillId="0" borderId="51" xfId="0" applyNumberFormat="1" applyFont="1" applyFill="1" applyBorder="1" applyAlignment="1">
      <alignment horizontal="left" wrapText="1"/>
    </xf>
    <xf numFmtId="0" fontId="21" fillId="0" borderId="47" xfId="0" applyFont="1" applyFill="1" applyBorder="1" applyAlignment="1">
      <alignment horizontal="center"/>
    </xf>
    <xf numFmtId="0" fontId="23" fillId="0" borderId="0" xfId="0" applyFont="1" applyFill="1" applyBorder="1" applyAlignment="1">
      <alignment horizontal="right" wrapText="1"/>
    </xf>
    <xf numFmtId="0" fontId="22" fillId="0" borderId="0" xfId="0" applyFont="1" applyFill="1" applyAlignment="1">
      <alignment horizontal="left" wrapText="1"/>
    </xf>
    <xf numFmtId="0" fontId="7" fillId="0" borderId="0" xfId="0" applyFont="1" applyFill="1" applyAlignment="1">
      <alignment horizontal="left" wrapText="1"/>
    </xf>
    <xf numFmtId="0" fontId="21" fillId="0" borderId="51" xfId="0" applyFont="1" applyFill="1" applyBorder="1" applyAlignment="1">
      <alignment horizontal="center" vertical="center" wrapText="1"/>
    </xf>
    <xf numFmtId="164" fontId="22" fillId="0" borderId="46" xfId="1" applyNumberFormat="1" applyFont="1" applyFill="1" applyBorder="1" applyAlignment="1">
      <alignment horizontal="center" vertical="top" wrapText="1"/>
    </xf>
    <xf numFmtId="164" fontId="22" fillId="0" borderId="9" xfId="1" applyNumberFormat="1" applyFont="1" applyFill="1" applyBorder="1" applyAlignment="1">
      <alignment horizontal="center" vertical="top" wrapText="1"/>
    </xf>
    <xf numFmtId="164" fontId="22" fillId="0" borderId="49" xfId="1" applyNumberFormat="1" applyFont="1" applyFill="1" applyBorder="1" applyAlignment="1">
      <alignment horizontal="center" vertical="top" wrapText="1"/>
    </xf>
    <xf numFmtId="164" fontId="22" fillId="0" borderId="47" xfId="1" applyNumberFormat="1" applyFont="1" applyFill="1" applyBorder="1" applyAlignment="1">
      <alignment horizontal="center" vertical="top" wrapText="1"/>
    </xf>
    <xf numFmtId="164" fontId="22" fillId="0" borderId="48" xfId="1" applyNumberFormat="1" applyFont="1" applyFill="1" applyBorder="1" applyAlignment="1">
      <alignment horizontal="center" vertical="top" wrapText="1"/>
    </xf>
    <xf numFmtId="0" fontId="22" fillId="0" borderId="0" xfId="0" applyFont="1" applyFill="1" applyAlignment="1">
      <alignment horizontal="center" vertical="center"/>
    </xf>
    <xf numFmtId="164" fontId="22" fillId="0" borderId="46" xfId="1" applyNumberFormat="1" applyFont="1" applyFill="1" applyBorder="1" applyAlignment="1">
      <alignment vertical="center" wrapText="1"/>
    </xf>
    <xf numFmtId="164" fontId="22" fillId="0" borderId="9" xfId="1" applyNumberFormat="1" applyFont="1" applyFill="1" applyBorder="1" applyAlignment="1">
      <alignment vertical="center" wrapText="1"/>
    </xf>
    <xf numFmtId="0" fontId="5" fillId="0" borderId="0" xfId="0" applyFont="1" applyFill="1" applyAlignment="1">
      <alignment horizontal="left" wrapText="1"/>
    </xf>
    <xf numFmtId="165" fontId="5" fillId="0" borderId="0" xfId="0" applyNumberFormat="1" applyFont="1" applyFill="1" applyAlignment="1">
      <alignment horizontal="left" wrapText="1"/>
    </xf>
    <xf numFmtId="0" fontId="6" fillId="0" borderId="0" xfId="0" applyFont="1" applyFill="1" applyAlignment="1">
      <alignment horizontal="center" wrapText="1"/>
    </xf>
    <xf numFmtId="164" fontId="6" fillId="0" borderId="46" xfId="1" applyNumberFormat="1" applyFont="1" applyFill="1" applyBorder="1" applyAlignment="1">
      <alignment horizontal="center" vertical="top" wrapText="1"/>
    </xf>
    <xf numFmtId="164" fontId="6" fillId="0" borderId="9" xfId="1" applyNumberFormat="1" applyFont="1" applyFill="1" applyBorder="1" applyAlignment="1">
      <alignment horizontal="center" vertical="top" wrapText="1"/>
    </xf>
    <xf numFmtId="0" fontId="5" fillId="0" borderId="5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wrapText="1"/>
    </xf>
    <xf numFmtId="164" fontId="6" fillId="0" borderId="49" xfId="1" applyNumberFormat="1" applyFont="1" applyFill="1" applyBorder="1" applyAlignment="1">
      <alignment horizontal="center" vertical="top" wrapText="1"/>
    </xf>
    <xf numFmtId="164" fontId="6" fillId="0" borderId="47" xfId="1" applyNumberFormat="1" applyFont="1" applyFill="1" applyBorder="1" applyAlignment="1">
      <alignment horizontal="center" vertical="top" wrapText="1"/>
    </xf>
    <xf numFmtId="164" fontId="6" fillId="0" borderId="48" xfId="1" applyNumberFormat="1" applyFont="1" applyFill="1" applyBorder="1" applyAlignment="1">
      <alignment horizontal="center" vertical="top" wrapText="1"/>
    </xf>
    <xf numFmtId="0" fontId="5" fillId="0" borderId="47" xfId="0" applyFont="1" applyFill="1" applyBorder="1" applyAlignment="1">
      <alignment horizontal="center"/>
    </xf>
    <xf numFmtId="0" fontId="35" fillId="0" borderId="0" xfId="0" applyFont="1" applyFill="1" applyBorder="1" applyAlignment="1">
      <alignment horizontal="right" wrapText="1"/>
    </xf>
    <xf numFmtId="165" fontId="5" fillId="0" borderId="51" xfId="0" applyNumberFormat="1" applyFont="1" applyFill="1" applyBorder="1" applyAlignment="1">
      <alignment horizontal="left" wrapText="1"/>
    </xf>
    <xf numFmtId="0" fontId="5" fillId="0" borderId="0" xfId="0" applyFont="1" applyFill="1" applyAlignment="1">
      <alignment horizontal="center"/>
    </xf>
    <xf numFmtId="0" fontId="6" fillId="0" borderId="0" xfId="0" applyFont="1" applyFill="1" applyAlignment="1">
      <alignment horizontal="center"/>
    </xf>
    <xf numFmtId="0" fontId="6" fillId="0" borderId="0" xfId="0" applyFont="1" applyFill="1" applyAlignment="1">
      <alignment horizontal="center" vertical="center"/>
    </xf>
    <xf numFmtId="164" fontId="6" fillId="0" borderId="46" xfId="1" applyNumberFormat="1" applyFont="1" applyFill="1" applyBorder="1" applyAlignment="1">
      <alignment vertical="center" wrapText="1"/>
    </xf>
    <xf numFmtId="164" fontId="6" fillId="0" borderId="9" xfId="1" applyNumberFormat="1" applyFont="1" applyFill="1" applyBorder="1" applyAlignment="1">
      <alignment vertical="center" wrapText="1"/>
    </xf>
    <xf numFmtId="0" fontId="30" fillId="0" borderId="0" xfId="0" applyFont="1" applyBorder="1" applyAlignment="1">
      <alignment horizontal="right"/>
    </xf>
    <xf numFmtId="164" fontId="24" fillId="0" borderId="98" xfId="1" applyNumberFormat="1" applyFont="1" applyBorder="1" applyAlignment="1">
      <alignment horizontal="center" vertical="center" wrapText="1"/>
    </xf>
    <xf numFmtId="164" fontId="24" fillId="0" borderId="95" xfId="1" applyNumberFormat="1" applyFont="1" applyBorder="1" applyAlignment="1">
      <alignment horizontal="center" vertical="center" wrapText="1"/>
    </xf>
    <xf numFmtId="0" fontId="9" fillId="0" borderId="0" xfId="0" applyFont="1" applyAlignment="1">
      <alignment horizontal="center"/>
    </xf>
    <xf numFmtId="0" fontId="24" fillId="0" borderId="0" xfId="0" applyFont="1" applyAlignment="1">
      <alignment horizontal="center" wrapText="1"/>
    </xf>
    <xf numFmtId="0" fontId="24" fillId="0" borderId="0" xfId="0" applyFont="1" applyAlignment="1">
      <alignment horizontal="center"/>
    </xf>
    <xf numFmtId="0" fontId="24" fillId="0" borderId="0" xfId="0" applyFont="1" applyAlignment="1">
      <alignment horizontal="center" vertical="center"/>
    </xf>
    <xf numFmtId="0" fontId="54" fillId="0" borderId="96" xfId="0" applyFont="1" applyBorder="1" applyAlignment="1">
      <alignment horizontal="center" vertical="center" wrapText="1"/>
    </xf>
    <xf numFmtId="0" fontId="10" fillId="0" borderId="0" xfId="0" applyFont="1" applyAlignment="1">
      <alignment horizontal="left" wrapText="1"/>
    </xf>
    <xf numFmtId="0" fontId="6" fillId="0" borderId="0" xfId="0" applyFont="1" applyAlignment="1">
      <alignment horizontal="center"/>
    </xf>
    <xf numFmtId="0" fontId="21" fillId="0" borderId="0" xfId="0" applyFont="1" applyAlignment="1">
      <alignment horizontal="center"/>
    </xf>
    <xf numFmtId="164" fontId="22" fillId="0" borderId="35" xfId="1" applyNumberFormat="1" applyFont="1" applyBorder="1" applyAlignment="1">
      <alignment horizontal="center" vertical="center" wrapText="1"/>
    </xf>
    <xf numFmtId="164" fontId="22" fillId="0" borderId="14" xfId="1" applyNumberFormat="1" applyFont="1" applyBorder="1" applyAlignment="1">
      <alignment horizontal="center" vertical="center" wrapText="1"/>
    </xf>
    <xf numFmtId="0" fontId="33" fillId="0" borderId="150" xfId="0" applyFont="1" applyBorder="1" applyAlignment="1">
      <alignment horizontal="center" vertical="center" wrapText="1"/>
    </xf>
    <xf numFmtId="0" fontId="33" fillId="0" borderId="141" xfId="0" applyFont="1" applyBorder="1" applyAlignment="1">
      <alignment horizontal="center" vertical="center" wrapText="1"/>
    </xf>
    <xf numFmtId="0" fontId="7" fillId="0" borderId="0" xfId="0" applyFont="1" applyAlignment="1">
      <alignment horizontal="left" wrapText="1"/>
    </xf>
    <xf numFmtId="164" fontId="22" fillId="0" borderId="33" xfId="1" applyNumberFormat="1" applyFont="1" applyBorder="1" applyAlignment="1">
      <alignment horizontal="center" vertical="center" wrapText="1"/>
    </xf>
    <xf numFmtId="164" fontId="22" fillId="0" borderId="40" xfId="1" applyNumberFormat="1" applyFont="1" applyBorder="1" applyAlignment="1">
      <alignment horizontal="center" vertical="center" wrapText="1"/>
    </xf>
    <xf numFmtId="164" fontId="22" fillId="0" borderId="34" xfId="1" applyNumberFormat="1" applyFont="1" applyBorder="1" applyAlignment="1">
      <alignment horizontal="center" vertical="center" wrapText="1"/>
    </xf>
    <xf numFmtId="164" fontId="22" fillId="0" borderId="69" xfId="1" applyNumberFormat="1" applyFont="1" applyBorder="1" applyAlignment="1">
      <alignment horizontal="center" vertical="center" wrapText="1"/>
    </xf>
    <xf numFmtId="164" fontId="22" fillId="0" borderId="11" xfId="1" applyNumberFormat="1" applyFont="1" applyBorder="1" applyAlignment="1">
      <alignment horizontal="center" vertical="center" wrapText="1"/>
    </xf>
    <xf numFmtId="0" fontId="23" fillId="0" borderId="41" xfId="0" applyFont="1" applyBorder="1" applyAlignment="1">
      <alignment horizontal="center"/>
    </xf>
    <xf numFmtId="0" fontId="23" fillId="0" borderId="0" xfId="0" applyFont="1" applyBorder="1" applyAlignment="1">
      <alignment horizontal="right"/>
    </xf>
    <xf numFmtId="0" fontId="12" fillId="0" borderId="0" xfId="0" applyFont="1" applyAlignment="1">
      <alignment horizontal="center"/>
    </xf>
    <xf numFmtId="0" fontId="22" fillId="0" borderId="0" xfId="0" applyFont="1" applyAlignment="1">
      <alignment horizontal="center" wrapText="1"/>
    </xf>
    <xf numFmtId="0" fontId="33" fillId="0" borderId="42" xfId="0" applyFont="1" applyBorder="1" applyAlignment="1">
      <alignment horizontal="center" vertical="center" wrapText="1"/>
    </xf>
    <xf numFmtId="0" fontId="33" fillId="0" borderId="29" xfId="0" applyFont="1" applyBorder="1" applyAlignment="1">
      <alignment horizontal="center" vertical="center" wrapText="1"/>
    </xf>
    <xf numFmtId="0" fontId="23" fillId="0" borderId="41" xfId="0" applyFont="1" applyBorder="1" applyAlignment="1">
      <alignment horizontal="right"/>
    </xf>
    <xf numFmtId="164" fontId="22" fillId="0" borderId="8" xfId="1" applyNumberFormat="1" applyFont="1" applyBorder="1" applyAlignment="1">
      <alignment horizontal="center" vertical="center" wrapText="1"/>
    </xf>
    <xf numFmtId="0" fontId="33" fillId="0" borderId="111" xfId="0" applyFont="1" applyBorder="1" applyAlignment="1">
      <alignment horizontal="center" vertical="center" wrapText="1"/>
    </xf>
    <xf numFmtId="0" fontId="33" fillId="0" borderId="112"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left" vertical="center" wrapText="1"/>
    </xf>
    <xf numFmtId="0" fontId="35" fillId="0" borderId="0" xfId="0" applyFont="1" applyAlignment="1">
      <alignment horizontal="right" vertical="center" wrapText="1"/>
    </xf>
    <xf numFmtId="0" fontId="13" fillId="0" borderId="0" xfId="0" applyFont="1" applyAlignment="1">
      <alignment horizontal="left" vertical="center" wrapText="1"/>
    </xf>
    <xf numFmtId="0" fontId="6" fillId="0" borderId="0" xfId="0" applyFont="1" applyBorder="1" applyAlignment="1">
      <alignment horizontal="left" vertical="top" wrapText="1"/>
    </xf>
    <xf numFmtId="0" fontId="12"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22" fillId="0" borderId="0" xfId="0" applyFont="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Border="1" applyAlignment="1">
      <alignment horizontal="center" vertical="center" wrapText="1"/>
    </xf>
    <xf numFmtId="0" fontId="42" fillId="0" borderId="127" xfId="0" applyFont="1" applyBorder="1" applyAlignment="1">
      <alignment horizontal="center" vertical="center" wrapText="1"/>
    </xf>
    <xf numFmtId="0" fontId="42" fillId="0" borderId="104" xfId="0" applyFont="1" applyBorder="1" applyAlignment="1">
      <alignment horizontal="center" vertical="center" wrapText="1"/>
    </xf>
    <xf numFmtId="0" fontId="35" fillId="0" borderId="0" xfId="0" applyFont="1" applyBorder="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left" vertical="center"/>
    </xf>
    <xf numFmtId="0" fontId="5" fillId="0" borderId="133" xfId="0" applyFont="1" applyBorder="1" applyAlignment="1">
      <alignment horizontal="left" vertical="center" wrapText="1"/>
    </xf>
    <xf numFmtId="0" fontId="14" fillId="0" borderId="0" xfId="0" applyFont="1" applyAlignment="1">
      <alignment horizontal="center"/>
    </xf>
    <xf numFmtId="0" fontId="6" fillId="0" borderId="0" xfId="0" applyFont="1" applyAlignment="1">
      <alignment horizontal="center" wrapText="1"/>
    </xf>
    <xf numFmtId="0" fontId="48" fillId="0" borderId="41" xfId="0" applyFont="1" applyBorder="1" applyAlignment="1">
      <alignment horizontal="center"/>
    </xf>
    <xf numFmtId="0" fontId="13" fillId="0" borderId="0" xfId="0" applyFont="1" applyAlignment="1">
      <alignment horizontal="center"/>
    </xf>
    <xf numFmtId="0" fontId="9" fillId="0" borderId="0" xfId="0" applyFont="1" applyAlignment="1">
      <alignment horizontal="left" wrapText="1"/>
    </xf>
    <xf numFmtId="0" fontId="64" fillId="0" borderId="0" xfId="5" applyFont="1" applyAlignment="1">
      <alignment horizontal="center"/>
    </xf>
    <xf numFmtId="0" fontId="9" fillId="0" borderId="0" xfId="5" applyFont="1" applyAlignment="1">
      <alignment horizontal="center" vertical="center"/>
    </xf>
    <xf numFmtId="0" fontId="14" fillId="0" borderId="0" xfId="5" applyFont="1" applyAlignment="1">
      <alignment horizontal="center" vertical="center" wrapText="1"/>
    </xf>
    <xf numFmtId="0" fontId="14" fillId="0" borderId="0" xfId="5" applyFont="1" applyAlignment="1">
      <alignment horizontal="center" vertical="center"/>
    </xf>
    <xf numFmtId="0" fontId="17" fillId="0" borderId="0" xfId="5" applyFont="1" applyAlignment="1">
      <alignment horizontal="center" wrapText="1"/>
    </xf>
    <xf numFmtId="0" fontId="14" fillId="0" borderId="0" xfId="5" applyFont="1" applyAlignment="1">
      <alignment horizontal="center" wrapText="1"/>
    </xf>
    <xf numFmtId="0" fontId="25" fillId="0" borderId="0" xfId="0" applyFont="1" applyAlignment="1">
      <alignment horizontal="center" vertical="center"/>
    </xf>
    <xf numFmtId="0" fontId="24" fillId="0" borderId="0" xfId="0" applyFont="1" applyAlignment="1">
      <alignment horizontal="left" vertical="center" wrapText="1"/>
    </xf>
    <xf numFmtId="0" fontId="30" fillId="0" borderId="0" xfId="0" applyFont="1" applyAlignment="1">
      <alignment horizontal="center" vertical="center"/>
    </xf>
    <xf numFmtId="0" fontId="30" fillId="0" borderId="78" xfId="0" applyFont="1" applyBorder="1" applyAlignment="1">
      <alignment horizontal="center" vertical="center" wrapText="1"/>
    </xf>
    <xf numFmtId="0" fontId="24" fillId="0" borderId="0" xfId="0" applyFont="1" applyAlignment="1">
      <alignment horizontal="center" vertical="center" wrapText="1"/>
    </xf>
    <xf numFmtId="0" fontId="39" fillId="0" borderId="0" xfId="0" applyFont="1" applyAlignment="1">
      <alignment horizontal="center" vertical="center"/>
    </xf>
    <xf numFmtId="0" fontId="30" fillId="0" borderId="0" xfId="0" applyFont="1" applyBorder="1" applyAlignment="1">
      <alignment horizontal="center" vertical="center"/>
    </xf>
    <xf numFmtId="0" fontId="30" fillId="0" borderId="0" xfId="0" applyFont="1" applyBorder="1" applyAlignment="1">
      <alignment horizontal="center" vertical="center" wrapText="1"/>
    </xf>
    <xf numFmtId="0" fontId="26" fillId="0" borderId="0" xfId="0" applyFont="1" applyAlignment="1">
      <alignment horizontal="center"/>
    </xf>
    <xf numFmtId="0" fontId="24" fillId="0" borderId="0" xfId="0" applyFont="1" applyBorder="1" applyAlignment="1">
      <alignment horizontal="center" vertical="center" wrapText="1"/>
    </xf>
    <xf numFmtId="0" fontId="22" fillId="0" borderId="0" xfId="0" applyFont="1" applyAlignment="1">
      <alignment horizontal="center" vertical="center" wrapText="1"/>
    </xf>
    <xf numFmtId="0" fontId="9"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0" fontId="83" fillId="0" borderId="0" xfId="0" applyFont="1" applyAlignment="1">
      <alignment horizontal="center" vertical="center"/>
    </xf>
    <xf numFmtId="0" fontId="17" fillId="0" borderId="0" xfId="0" applyFont="1" applyBorder="1" applyAlignment="1">
      <alignment horizontal="center" vertical="center"/>
    </xf>
    <xf numFmtId="0" fontId="14" fillId="0" borderId="0" xfId="0" applyFont="1" applyAlignment="1">
      <alignment horizontal="center" vertical="center"/>
    </xf>
    <xf numFmtId="0" fontId="17" fillId="0" borderId="0" xfId="0" applyFont="1" applyBorder="1" applyAlignment="1">
      <alignment horizontal="right" vertical="center"/>
    </xf>
    <xf numFmtId="0" fontId="17" fillId="0" borderId="41" xfId="0" applyFont="1" applyBorder="1" applyAlignment="1">
      <alignment horizontal="center" wrapText="1"/>
    </xf>
    <xf numFmtId="0" fontId="25" fillId="0" borderId="0" xfId="4" applyFont="1" applyAlignment="1">
      <alignment horizontal="center"/>
    </xf>
    <xf numFmtId="0" fontId="24" fillId="0" borderId="0" xfId="4" applyFont="1" applyAlignment="1">
      <alignment horizontal="center"/>
    </xf>
    <xf numFmtId="0" fontId="20" fillId="0" borderId="76" xfId="4" applyFont="1" applyBorder="1" applyAlignment="1">
      <alignment horizontal="center" vertical="center"/>
    </xf>
    <xf numFmtId="0" fontId="20" fillId="0" borderId="77" xfId="4" applyFont="1" applyBorder="1" applyAlignment="1">
      <alignment horizontal="center" vertical="center"/>
    </xf>
    <xf numFmtId="0" fontId="24" fillId="0" borderId="67" xfId="4" applyFont="1" applyBorder="1" applyAlignment="1">
      <alignment horizontal="center" vertical="center" wrapText="1"/>
    </xf>
    <xf numFmtId="0" fontId="14" fillId="0" borderId="133" xfId="0" applyFont="1" applyBorder="1" applyAlignment="1">
      <alignment horizontal="center" vertical="center"/>
    </xf>
    <xf numFmtId="0" fontId="14" fillId="0" borderId="133" xfId="0" applyFont="1" applyBorder="1" applyAlignment="1">
      <alignment horizontal="center" vertical="center" wrapText="1"/>
    </xf>
    <xf numFmtId="0" fontId="14" fillId="0" borderId="133" xfId="0" applyFont="1" applyBorder="1" applyAlignment="1">
      <alignment vertical="center" wrapText="1"/>
    </xf>
    <xf numFmtId="0" fontId="9" fillId="0" borderId="0" xfId="0" applyFont="1" applyAlignment="1">
      <alignment horizontal="center" vertical="center" wrapText="1"/>
    </xf>
    <xf numFmtId="0" fontId="14" fillId="0" borderId="13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4" xfId="0" applyFont="1" applyBorder="1" applyAlignment="1">
      <alignment horizontal="center" vertical="center"/>
    </xf>
    <xf numFmtId="0" fontId="14" fillId="0" borderId="9" xfId="0" applyFont="1" applyBorder="1" applyAlignment="1">
      <alignment horizontal="center" vertical="center"/>
    </xf>
    <xf numFmtId="0" fontId="9" fillId="0" borderId="134" xfId="0" applyFont="1" applyBorder="1" applyAlignment="1">
      <alignment horizontal="center" vertical="center" wrapText="1"/>
    </xf>
    <xf numFmtId="0" fontId="14" fillId="0" borderId="69" xfId="0" applyFont="1" applyBorder="1" applyAlignment="1">
      <alignment horizontal="center" vertical="center" wrapText="1"/>
    </xf>
    <xf numFmtId="0" fontId="107" fillId="0" borderId="71" xfId="0" applyFont="1" applyBorder="1" applyAlignment="1">
      <alignment horizontal="center" vertical="center" wrapText="1"/>
    </xf>
    <xf numFmtId="0" fontId="107" fillId="0" borderId="0" xfId="0" applyFont="1" applyAlignment="1">
      <alignment horizontal="center" vertical="center" wrapText="1"/>
    </xf>
    <xf numFmtId="0" fontId="14" fillId="0" borderId="69" xfId="0" applyFont="1" applyBorder="1" applyAlignment="1">
      <alignment horizontal="center" vertical="center"/>
    </xf>
    <xf numFmtId="0" fontId="105" fillId="0" borderId="134" xfId="0" applyFont="1" applyBorder="1" applyAlignment="1">
      <alignment horizontal="center" vertical="center" wrapText="1"/>
    </xf>
    <xf numFmtId="0" fontId="105" fillId="0" borderId="69" xfId="0" applyFont="1" applyBorder="1" applyAlignment="1">
      <alignment horizontal="center" vertical="center"/>
    </xf>
    <xf numFmtId="0" fontId="105" fillId="0" borderId="9" xfId="0" applyFont="1" applyBorder="1" applyAlignment="1">
      <alignment horizontal="center" vertical="center"/>
    </xf>
    <xf numFmtId="0" fontId="9" fillId="0" borderId="134" xfId="0" applyFont="1" applyBorder="1" applyAlignment="1">
      <alignment horizontal="center" vertical="center"/>
    </xf>
    <xf numFmtId="0" fontId="9" fillId="0" borderId="69" xfId="0" applyFont="1" applyBorder="1" applyAlignment="1">
      <alignment horizontal="center" vertical="center"/>
    </xf>
    <xf numFmtId="0" fontId="9" fillId="0" borderId="9" xfId="0" applyFont="1" applyBorder="1" applyAlignment="1">
      <alignment horizontal="center" vertical="center"/>
    </xf>
    <xf numFmtId="0" fontId="105" fillId="10" borderId="134" xfId="0" applyFont="1" applyFill="1" applyBorder="1" applyAlignment="1">
      <alignment horizontal="center" vertical="center" wrapText="1"/>
    </xf>
    <xf numFmtId="0" fontId="105" fillId="10" borderId="69" xfId="0" applyFont="1" applyFill="1" applyBorder="1" applyAlignment="1">
      <alignment horizontal="center" vertical="center"/>
    </xf>
    <xf numFmtId="0" fontId="105" fillId="10" borderId="9" xfId="0" applyFont="1" applyFill="1" applyBorder="1" applyAlignment="1">
      <alignment horizontal="center" vertical="center"/>
    </xf>
    <xf numFmtId="0" fontId="106" fillId="0" borderId="134" xfId="0" applyFont="1" applyBorder="1" applyAlignment="1">
      <alignment horizontal="center" vertical="center" wrapText="1"/>
    </xf>
    <xf numFmtId="0" fontId="106" fillId="0" borderId="9" xfId="0" applyFont="1" applyBorder="1" applyAlignment="1">
      <alignment horizontal="center" vertical="center"/>
    </xf>
    <xf numFmtId="0" fontId="114" fillId="0" borderId="0" xfId="0" applyFont="1" applyAlignment="1">
      <alignment horizontal="center" vertical="center"/>
    </xf>
    <xf numFmtId="3" fontId="13" fillId="0" borderId="0" xfId="0" applyNumberFormat="1" applyFont="1" applyAlignment="1">
      <alignment horizontal="center" vertical="center" wrapText="1"/>
    </xf>
    <xf numFmtId="0" fontId="13" fillId="0" borderId="0" xfId="0" applyFont="1" applyAlignment="1">
      <alignment horizontal="center" vertical="top" wrapText="1"/>
    </xf>
    <xf numFmtId="0" fontId="109" fillId="0" borderId="0" xfId="0" applyFont="1" applyAlignment="1">
      <alignment horizontal="left"/>
    </xf>
    <xf numFmtId="0" fontId="109" fillId="0" borderId="0" xfId="0" applyFont="1" applyAlignment="1">
      <alignment horizontal="center"/>
    </xf>
    <xf numFmtId="0" fontId="13" fillId="0" borderId="0" xfId="0" applyFont="1" applyAlignment="1">
      <alignment horizontal="center" vertical="center"/>
    </xf>
    <xf numFmtId="0" fontId="71" fillId="0" borderId="0" xfId="0" applyFont="1" applyAlignment="1">
      <alignment horizontal="center"/>
    </xf>
    <xf numFmtId="0" fontId="63" fillId="0" borderId="0" xfId="0" applyFont="1" applyAlignment="1">
      <alignment horizontal="center" vertical="top" wrapText="1"/>
    </xf>
    <xf numFmtId="0" fontId="12" fillId="0" borderId="0" xfId="0" applyFont="1" applyAlignment="1">
      <alignment horizontal="center" vertical="top" wrapText="1"/>
    </xf>
    <xf numFmtId="0" fontId="63" fillId="0" borderId="0" xfId="0" applyFont="1" applyAlignment="1">
      <alignment horizontal="left"/>
    </xf>
    <xf numFmtId="0" fontId="64" fillId="0" borderId="0" xfId="0" applyFont="1" applyAlignment="1">
      <alignment horizontal="center"/>
    </xf>
    <xf numFmtId="0" fontId="64" fillId="0" borderId="0" xfId="0" applyFont="1" applyAlignment="1">
      <alignment horizontal="left"/>
    </xf>
    <xf numFmtId="0" fontId="13" fillId="0" borderId="0" xfId="0" applyFont="1" applyAlignment="1">
      <alignment horizontal="center" wrapText="1"/>
    </xf>
    <xf numFmtId="0" fontId="63" fillId="0" borderId="67" xfId="0" applyFont="1" applyBorder="1" applyAlignment="1">
      <alignment horizontal="center" vertical="center" wrapText="1"/>
    </xf>
    <xf numFmtId="0" fontId="0" fillId="0" borderId="0" xfId="0" applyAlignment="1">
      <alignment horizontal="center"/>
    </xf>
    <xf numFmtId="0" fontId="39" fillId="0" borderId="0" xfId="0" applyFont="1" applyAlignment="1">
      <alignment horizontal="center"/>
    </xf>
    <xf numFmtId="0" fontId="99" fillId="0" borderId="0" xfId="0" applyFont="1" applyAlignment="1">
      <alignment horizontal="center"/>
    </xf>
    <xf numFmtId="0" fontId="10" fillId="0" borderId="102" xfId="0" applyFont="1" applyBorder="1" applyAlignment="1">
      <alignment horizontal="center" vertical="center" wrapText="1"/>
    </xf>
    <xf numFmtId="0" fontId="10" fillId="0" borderId="75" xfId="0" applyFont="1" applyBorder="1" applyAlignment="1">
      <alignment wrapText="1"/>
    </xf>
    <xf numFmtId="164" fontId="69" fillId="0" borderId="0" xfId="1" applyNumberFormat="1" applyFont="1" applyAlignment="1">
      <alignment horizontal="center" vertical="center"/>
    </xf>
    <xf numFmtId="0" fontId="69" fillId="0" borderId="0" xfId="0" applyFont="1" applyAlignment="1">
      <alignment horizontal="center" vertical="center" wrapText="1"/>
    </xf>
    <xf numFmtId="0" fontId="14" fillId="0" borderId="0" xfId="0" applyFont="1" applyAlignment="1">
      <alignment horizontal="center" vertical="center" wrapText="1"/>
    </xf>
    <xf numFmtId="0" fontId="72" fillId="0" borderId="0" xfId="0" applyFont="1" applyAlignment="1">
      <alignment horizontal="center" vertical="center" wrapText="1"/>
    </xf>
    <xf numFmtId="164" fontId="17" fillId="0" borderId="0" xfId="1" applyNumberFormat="1" applyFont="1" applyAlignment="1">
      <alignment horizontal="center" vertical="center"/>
    </xf>
    <xf numFmtId="0" fontId="24" fillId="0" borderId="60" xfId="0" applyFont="1" applyBorder="1" applyAlignment="1">
      <alignment horizontal="left"/>
    </xf>
    <xf numFmtId="0" fontId="14" fillId="0" borderId="60" xfId="0" applyFont="1" applyBorder="1" applyAlignment="1">
      <alignment horizontal="left" vertical="center"/>
    </xf>
    <xf numFmtId="0" fontId="71" fillId="0" borderId="78" xfId="0" applyFont="1" applyBorder="1" applyAlignment="1">
      <alignment horizontal="right"/>
    </xf>
    <xf numFmtId="0" fontId="17" fillId="0" borderId="0" xfId="0" applyFont="1" applyAlignment="1">
      <alignment horizontal="center"/>
    </xf>
    <xf numFmtId="0" fontId="11" fillId="0" borderId="0" xfId="0" applyFont="1" applyAlignment="1">
      <alignment horizontal="center"/>
    </xf>
    <xf numFmtId="0" fontId="83" fillId="0" borderId="0" xfId="0" applyFont="1" applyAlignment="1">
      <alignment horizontal="center" vertical="top" wrapText="1"/>
    </xf>
    <xf numFmtId="49" fontId="66" fillId="0" borderId="62" xfId="0" applyNumberFormat="1" applyFont="1" applyBorder="1" applyAlignment="1">
      <alignment horizontal="left" vertical="center" wrapText="1"/>
    </xf>
    <xf numFmtId="49" fontId="66" fillId="0" borderId="64" xfId="0" applyNumberFormat="1" applyFont="1" applyBorder="1" applyAlignment="1">
      <alignment horizontal="left" vertical="center" wrapText="1"/>
    </xf>
  </cellXfs>
  <cellStyles count="597">
    <cellStyle name="Comma" xfId="1" builtinId="3"/>
    <cellStyle name="Comma [0]" xfId="2" builtinId="6"/>
    <cellStyle name="Comma 2" xfId="3" xr:uid="{00000000-0005-0000-0000-000002000000}"/>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Normal" xfId="0" builtinId="0"/>
    <cellStyle name="Normal 2" xfId="4" xr:uid="{00000000-0005-0000-0000-000052020000}"/>
    <cellStyle name="Normal 3" xfId="5" xr:uid="{00000000-0005-0000-0000-000053020000}"/>
    <cellStyle name="Normal 4" xfId="6" xr:uid="{00000000-0005-0000-0000-00005402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369327</xdr:colOff>
      <xdr:row>2</xdr:row>
      <xdr:rowOff>230467</xdr:rowOff>
    </xdr:from>
    <xdr:to>
      <xdr:col>1</xdr:col>
      <xdr:colOff>1286350</xdr:colOff>
      <xdr:row>2</xdr:row>
      <xdr:rowOff>230467</xdr:rowOff>
    </xdr:to>
    <xdr:cxnSp macro="">
      <xdr:nvCxnSpPr>
        <xdr:cNvPr id="2" name="Straight Connector 1">
          <a:extLst>
            <a:ext uri="{FF2B5EF4-FFF2-40B4-BE49-F238E27FC236}">
              <a16:creationId xmlns:a16="http://schemas.microsoft.com/office/drawing/2014/main" id="{CFB0051C-67DC-D24C-9C92-6B9587C259F4}"/>
            </a:ext>
          </a:extLst>
        </xdr:cNvPr>
        <xdr:cNvCxnSpPr/>
      </xdr:nvCxnSpPr>
      <xdr:spPr>
        <a:xfrm>
          <a:off x="783945" y="633879"/>
          <a:ext cx="9170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111125</xdr:colOff>
      <xdr:row>2</xdr:row>
      <xdr:rowOff>9525</xdr:rowOff>
    </xdr:from>
    <xdr:to>
      <xdr:col>7</xdr:col>
      <xdr:colOff>835025</xdr:colOff>
      <xdr:row>2</xdr:row>
      <xdr:rowOff>9526</xdr:rowOff>
    </xdr:to>
    <xdr:cxnSp macro="">
      <xdr:nvCxnSpPr>
        <xdr:cNvPr id="2" name="Straight Connector 1">
          <a:extLst>
            <a:ext uri="{FF2B5EF4-FFF2-40B4-BE49-F238E27FC236}">
              <a16:creationId xmlns:a16="http://schemas.microsoft.com/office/drawing/2014/main" id="{52F86FD1-C217-0B4F-BF36-CE12DD0A3F38}"/>
            </a:ext>
          </a:extLst>
        </xdr:cNvPr>
        <xdr:cNvCxnSpPr/>
      </xdr:nvCxnSpPr>
      <xdr:spPr>
        <a:xfrm flipV="1">
          <a:off x="6238875" y="358775"/>
          <a:ext cx="20256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526629</xdr:colOff>
      <xdr:row>2</xdr:row>
      <xdr:rowOff>25400</xdr:rowOff>
    </xdr:from>
    <xdr:to>
      <xdr:col>1</xdr:col>
      <xdr:colOff>1857796</xdr:colOff>
      <xdr:row>2</xdr:row>
      <xdr:rowOff>25401</xdr:rowOff>
    </xdr:to>
    <xdr:cxnSp macro="">
      <xdr:nvCxnSpPr>
        <xdr:cNvPr id="3" name="Straight Connector 2">
          <a:extLst>
            <a:ext uri="{FF2B5EF4-FFF2-40B4-BE49-F238E27FC236}">
              <a16:creationId xmlns:a16="http://schemas.microsoft.com/office/drawing/2014/main" id="{985378B3-C255-A14E-8D81-7B7B3AA72971}"/>
            </a:ext>
          </a:extLst>
        </xdr:cNvPr>
        <xdr:cNvCxnSpPr/>
      </xdr:nvCxnSpPr>
      <xdr:spPr>
        <a:xfrm>
          <a:off x="812379" y="374650"/>
          <a:ext cx="133116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285750</xdr:colOff>
      <xdr:row>2</xdr:row>
      <xdr:rowOff>9525</xdr:rowOff>
    </xdr:from>
    <xdr:to>
      <xdr:col>7</xdr:col>
      <xdr:colOff>1047750</xdr:colOff>
      <xdr:row>2</xdr:row>
      <xdr:rowOff>9526</xdr:rowOff>
    </xdr:to>
    <xdr:cxnSp macro="">
      <xdr:nvCxnSpPr>
        <xdr:cNvPr id="4" name="Straight Connector 3">
          <a:extLst>
            <a:ext uri="{FF2B5EF4-FFF2-40B4-BE49-F238E27FC236}">
              <a16:creationId xmlns:a16="http://schemas.microsoft.com/office/drawing/2014/main" id="{8BF666F7-C38D-734B-97F9-5BE3C3021A84}"/>
            </a:ext>
          </a:extLst>
        </xdr:cNvPr>
        <xdr:cNvCxnSpPr/>
      </xdr:nvCxnSpPr>
      <xdr:spPr>
        <a:xfrm flipV="1">
          <a:off x="7258050" y="365125"/>
          <a:ext cx="18034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701254</xdr:colOff>
      <xdr:row>2</xdr:row>
      <xdr:rowOff>9525</xdr:rowOff>
    </xdr:from>
    <xdr:to>
      <xdr:col>1</xdr:col>
      <xdr:colOff>2032421</xdr:colOff>
      <xdr:row>2</xdr:row>
      <xdr:rowOff>9526</xdr:rowOff>
    </xdr:to>
    <xdr:cxnSp macro="">
      <xdr:nvCxnSpPr>
        <xdr:cNvPr id="5" name="Straight Connector 4">
          <a:extLst>
            <a:ext uri="{FF2B5EF4-FFF2-40B4-BE49-F238E27FC236}">
              <a16:creationId xmlns:a16="http://schemas.microsoft.com/office/drawing/2014/main" id="{C2F38172-036F-294B-A073-833E3D9E6DB8}"/>
            </a:ext>
          </a:extLst>
        </xdr:cNvPr>
        <xdr:cNvCxnSpPr/>
      </xdr:nvCxnSpPr>
      <xdr:spPr>
        <a:xfrm>
          <a:off x="1031454" y="365125"/>
          <a:ext cx="133116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92075</xdr:colOff>
      <xdr:row>2</xdr:row>
      <xdr:rowOff>19050</xdr:rowOff>
    </xdr:from>
    <xdr:to>
      <xdr:col>1</xdr:col>
      <xdr:colOff>1006475</xdr:colOff>
      <xdr:row>2</xdr:row>
      <xdr:rowOff>19050</xdr:rowOff>
    </xdr:to>
    <xdr:sp macro="" textlink="">
      <xdr:nvSpPr>
        <xdr:cNvPr id="2" name="Line 1">
          <a:extLst>
            <a:ext uri="{FF2B5EF4-FFF2-40B4-BE49-F238E27FC236}">
              <a16:creationId xmlns:a16="http://schemas.microsoft.com/office/drawing/2014/main" id="{E1BFFCC2-72B2-314C-9DF2-8691B2241BF6}"/>
            </a:ext>
          </a:extLst>
        </xdr:cNvPr>
        <xdr:cNvSpPr>
          <a:spLocks noChangeShapeType="1"/>
        </xdr:cNvSpPr>
      </xdr:nvSpPr>
      <xdr:spPr bwMode="auto">
        <a:xfrm>
          <a:off x="434975" y="400050"/>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4</xdr:col>
      <xdr:colOff>28340</xdr:colOff>
      <xdr:row>2</xdr:row>
      <xdr:rowOff>15324</xdr:rowOff>
    </xdr:from>
    <xdr:to>
      <xdr:col>5</xdr:col>
      <xdr:colOff>776674</xdr:colOff>
      <xdr:row>2</xdr:row>
      <xdr:rowOff>15324</xdr:rowOff>
    </xdr:to>
    <xdr:sp macro="" textlink="">
      <xdr:nvSpPr>
        <xdr:cNvPr id="3" name="Line 3">
          <a:extLst>
            <a:ext uri="{FF2B5EF4-FFF2-40B4-BE49-F238E27FC236}">
              <a16:creationId xmlns:a16="http://schemas.microsoft.com/office/drawing/2014/main" id="{0DDACCE7-7064-2D47-854F-0914EAC1930C}"/>
            </a:ext>
          </a:extLst>
        </xdr:cNvPr>
        <xdr:cNvSpPr>
          <a:spLocks noChangeShapeType="1"/>
        </xdr:cNvSpPr>
      </xdr:nvSpPr>
      <xdr:spPr bwMode="auto">
        <a:xfrm>
          <a:off x="3428765" y="396324"/>
          <a:ext cx="140555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98292</xdr:colOff>
      <xdr:row>2</xdr:row>
      <xdr:rowOff>0</xdr:rowOff>
    </xdr:from>
    <xdr:to>
      <xdr:col>1</xdr:col>
      <xdr:colOff>1012692</xdr:colOff>
      <xdr:row>2</xdr:row>
      <xdr:rowOff>0</xdr:rowOff>
    </xdr:to>
    <xdr:sp macro="" textlink="">
      <xdr:nvSpPr>
        <xdr:cNvPr id="2" name="Line 1">
          <a:extLst>
            <a:ext uri="{FF2B5EF4-FFF2-40B4-BE49-F238E27FC236}">
              <a16:creationId xmlns:a16="http://schemas.microsoft.com/office/drawing/2014/main" id="{93FCA97C-2DAB-284A-AB27-0A370B975BC1}"/>
            </a:ext>
          </a:extLst>
        </xdr:cNvPr>
        <xdr:cNvSpPr>
          <a:spLocks noChangeShapeType="1"/>
        </xdr:cNvSpPr>
      </xdr:nvSpPr>
      <xdr:spPr bwMode="auto">
        <a:xfrm>
          <a:off x="437879" y="381000"/>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4</xdr:col>
      <xdr:colOff>293213</xdr:colOff>
      <xdr:row>2</xdr:row>
      <xdr:rowOff>7181</xdr:rowOff>
    </xdr:from>
    <xdr:to>
      <xdr:col>6</xdr:col>
      <xdr:colOff>40870</xdr:colOff>
      <xdr:row>2</xdr:row>
      <xdr:rowOff>7181</xdr:rowOff>
    </xdr:to>
    <xdr:sp macro="" textlink="">
      <xdr:nvSpPr>
        <xdr:cNvPr id="3" name="Line 3">
          <a:extLst>
            <a:ext uri="{FF2B5EF4-FFF2-40B4-BE49-F238E27FC236}">
              <a16:creationId xmlns:a16="http://schemas.microsoft.com/office/drawing/2014/main" id="{8759006F-E1A5-8E47-BDBC-794589F7867D}"/>
            </a:ext>
          </a:extLst>
        </xdr:cNvPr>
        <xdr:cNvSpPr>
          <a:spLocks noChangeShapeType="1"/>
        </xdr:cNvSpPr>
      </xdr:nvSpPr>
      <xdr:spPr bwMode="auto">
        <a:xfrm>
          <a:off x="4442800" y="388181"/>
          <a:ext cx="12716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320675</xdr:colOff>
      <xdr:row>2</xdr:row>
      <xdr:rowOff>9525</xdr:rowOff>
    </xdr:from>
    <xdr:to>
      <xdr:col>1</xdr:col>
      <xdr:colOff>1260475</xdr:colOff>
      <xdr:row>2</xdr:row>
      <xdr:rowOff>9525</xdr:rowOff>
    </xdr:to>
    <xdr:sp macro="" textlink="">
      <xdr:nvSpPr>
        <xdr:cNvPr id="2" name="Line 1">
          <a:extLst>
            <a:ext uri="{FF2B5EF4-FFF2-40B4-BE49-F238E27FC236}">
              <a16:creationId xmlns:a16="http://schemas.microsoft.com/office/drawing/2014/main" id="{443CD439-BBBC-F14B-B8B8-99DF47C22D0D}"/>
            </a:ext>
          </a:extLst>
        </xdr:cNvPr>
        <xdr:cNvSpPr>
          <a:spLocks noChangeShapeType="1"/>
        </xdr:cNvSpPr>
      </xdr:nvSpPr>
      <xdr:spPr bwMode="auto">
        <a:xfrm>
          <a:off x="320675" y="390525"/>
          <a:ext cx="1320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92075</xdr:colOff>
      <xdr:row>2</xdr:row>
      <xdr:rowOff>6350</xdr:rowOff>
    </xdr:from>
    <xdr:to>
      <xdr:col>5</xdr:col>
      <xdr:colOff>333375</xdr:colOff>
      <xdr:row>2</xdr:row>
      <xdr:rowOff>6350</xdr:rowOff>
    </xdr:to>
    <xdr:sp macro="" textlink="">
      <xdr:nvSpPr>
        <xdr:cNvPr id="3" name="Line 2">
          <a:extLst>
            <a:ext uri="{FF2B5EF4-FFF2-40B4-BE49-F238E27FC236}">
              <a16:creationId xmlns:a16="http://schemas.microsoft.com/office/drawing/2014/main" id="{8349770C-31AA-D940-B2B4-9DB4DF1C4F0A}"/>
            </a:ext>
          </a:extLst>
        </xdr:cNvPr>
        <xdr:cNvSpPr>
          <a:spLocks noChangeShapeType="1"/>
        </xdr:cNvSpPr>
      </xdr:nvSpPr>
      <xdr:spPr bwMode="auto">
        <a:xfrm>
          <a:off x="3606800" y="387350"/>
          <a:ext cx="1612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593725</xdr:colOff>
      <xdr:row>2</xdr:row>
      <xdr:rowOff>0</xdr:rowOff>
    </xdr:from>
    <xdr:to>
      <xdr:col>1</xdr:col>
      <xdr:colOff>2117725</xdr:colOff>
      <xdr:row>2</xdr:row>
      <xdr:rowOff>0</xdr:rowOff>
    </xdr:to>
    <xdr:cxnSp macro="">
      <xdr:nvCxnSpPr>
        <xdr:cNvPr id="2" name="Straight Connector 1">
          <a:extLst>
            <a:ext uri="{FF2B5EF4-FFF2-40B4-BE49-F238E27FC236}">
              <a16:creationId xmlns:a16="http://schemas.microsoft.com/office/drawing/2014/main" id="{DD74CEE1-FED5-F44B-9526-AFEAB0F5CD63}"/>
            </a:ext>
          </a:extLst>
        </xdr:cNvPr>
        <xdr:cNvCxnSpPr/>
      </xdr:nvCxnSpPr>
      <xdr:spPr>
        <a:xfrm flipV="1">
          <a:off x="1050925" y="368300"/>
          <a:ext cx="1524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1219200</xdr:colOff>
      <xdr:row>2</xdr:row>
      <xdr:rowOff>1</xdr:rowOff>
    </xdr:from>
    <xdr:to>
      <xdr:col>2</xdr:col>
      <xdr:colOff>384555</xdr:colOff>
      <xdr:row>2</xdr:row>
      <xdr:rowOff>9525</xdr:rowOff>
    </xdr:to>
    <xdr:cxnSp macro="">
      <xdr:nvCxnSpPr>
        <xdr:cNvPr id="2" name="Straight Connector 1">
          <a:extLst>
            <a:ext uri="{FF2B5EF4-FFF2-40B4-BE49-F238E27FC236}">
              <a16:creationId xmlns:a16="http://schemas.microsoft.com/office/drawing/2014/main" id="{75D990D9-90A1-AB4B-9D2B-934638825410}"/>
            </a:ext>
          </a:extLst>
        </xdr:cNvPr>
        <xdr:cNvCxnSpPr/>
      </xdr:nvCxnSpPr>
      <xdr:spPr>
        <a:xfrm flipV="1">
          <a:off x="1219200" y="431800"/>
          <a:ext cx="155295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284368</xdr:colOff>
      <xdr:row>2</xdr:row>
      <xdr:rowOff>0</xdr:rowOff>
    </xdr:from>
    <xdr:to>
      <xdr:col>1</xdr:col>
      <xdr:colOff>1236868</xdr:colOff>
      <xdr:row>2</xdr:row>
      <xdr:rowOff>0</xdr:rowOff>
    </xdr:to>
    <xdr:sp macro="" textlink="">
      <xdr:nvSpPr>
        <xdr:cNvPr id="2" name="Line 1">
          <a:extLst>
            <a:ext uri="{FF2B5EF4-FFF2-40B4-BE49-F238E27FC236}">
              <a16:creationId xmlns:a16="http://schemas.microsoft.com/office/drawing/2014/main" id="{AE6368E7-EA67-0F44-B8CA-17D8F8A804F0}"/>
            </a:ext>
          </a:extLst>
        </xdr:cNvPr>
        <xdr:cNvSpPr>
          <a:spLocks noChangeShapeType="1"/>
        </xdr:cNvSpPr>
      </xdr:nvSpPr>
      <xdr:spPr bwMode="auto">
        <a:xfrm>
          <a:off x="284368" y="381000"/>
          <a:ext cx="1333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151289</xdr:colOff>
      <xdr:row>2</xdr:row>
      <xdr:rowOff>551</xdr:rowOff>
    </xdr:from>
    <xdr:to>
      <xdr:col>5</xdr:col>
      <xdr:colOff>392589</xdr:colOff>
      <xdr:row>2</xdr:row>
      <xdr:rowOff>551</xdr:rowOff>
    </xdr:to>
    <xdr:sp macro="" textlink="">
      <xdr:nvSpPr>
        <xdr:cNvPr id="3" name="Line 2">
          <a:extLst>
            <a:ext uri="{FF2B5EF4-FFF2-40B4-BE49-F238E27FC236}">
              <a16:creationId xmlns:a16="http://schemas.microsoft.com/office/drawing/2014/main" id="{58D296CF-EDA5-2646-963A-81BC6444D7B4}"/>
            </a:ext>
          </a:extLst>
        </xdr:cNvPr>
        <xdr:cNvSpPr>
          <a:spLocks noChangeShapeType="1"/>
        </xdr:cNvSpPr>
      </xdr:nvSpPr>
      <xdr:spPr bwMode="auto">
        <a:xfrm>
          <a:off x="3572006" y="381551"/>
          <a:ext cx="161621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703483</xdr:colOff>
      <xdr:row>1</xdr:row>
      <xdr:rowOff>191813</xdr:rowOff>
    </xdr:from>
    <xdr:to>
      <xdr:col>1</xdr:col>
      <xdr:colOff>1717760</xdr:colOff>
      <xdr:row>1</xdr:row>
      <xdr:rowOff>193401</xdr:rowOff>
    </xdr:to>
    <xdr:cxnSp macro="">
      <xdr:nvCxnSpPr>
        <xdr:cNvPr id="2" name="Straight Connector 1">
          <a:extLst>
            <a:ext uri="{FF2B5EF4-FFF2-40B4-BE49-F238E27FC236}">
              <a16:creationId xmlns:a16="http://schemas.microsoft.com/office/drawing/2014/main" id="{705F6F9B-B03A-2A4E-93FD-6678A62B228F}"/>
            </a:ext>
          </a:extLst>
        </xdr:cNvPr>
        <xdr:cNvCxnSpPr/>
      </xdr:nvCxnSpPr>
      <xdr:spPr>
        <a:xfrm>
          <a:off x="1200440" y="390596"/>
          <a:ext cx="1014277"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5" defaultRowHeight="1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9"/>
  <sheetViews>
    <sheetView view="pageBreakPreview" topLeftCell="A4" zoomScale="180" zoomScaleNormal="120" zoomScaleSheetLayoutView="180" workbookViewId="0">
      <selection activeCell="C26" sqref="C26"/>
    </sheetView>
  </sheetViews>
  <sheetFormatPr baseColWidth="10" defaultColWidth="8.83203125" defaultRowHeight="13"/>
  <cols>
    <col min="1" max="1" width="5.5" style="1" customWidth="1"/>
    <col min="2" max="2" width="27.5" style="2" customWidth="1"/>
    <col min="3" max="3" width="8.5" style="2" customWidth="1"/>
    <col min="4" max="6" width="9.33203125" style="1102" customWidth="1"/>
    <col min="7" max="7" width="9.33203125" style="1098" customWidth="1"/>
    <col min="8" max="8" width="9.33203125" customWidth="1"/>
  </cols>
  <sheetData>
    <row r="1" spans="1:13" ht="14.25" customHeight="1">
      <c r="A1" s="1845" t="s">
        <v>3</v>
      </c>
      <c r="B1" s="1845"/>
      <c r="C1" s="10"/>
      <c r="D1" s="1051"/>
      <c r="E1" s="1051"/>
      <c r="F1" s="1051"/>
      <c r="G1" s="1095" t="s">
        <v>1567</v>
      </c>
      <c r="H1" s="545"/>
      <c r="J1" s="6"/>
      <c r="K1" s="6"/>
      <c r="L1" s="6"/>
      <c r="M1" s="6"/>
    </row>
    <row r="2" spans="1:13">
      <c r="A2" s="1846" t="s">
        <v>558</v>
      </c>
      <c r="B2" s="1846"/>
      <c r="C2" s="10"/>
      <c r="D2" s="1051"/>
      <c r="E2" s="1051"/>
      <c r="F2" s="1051"/>
      <c r="G2" s="1051"/>
      <c r="H2" s="11"/>
      <c r="I2" s="11"/>
      <c r="J2" s="6"/>
      <c r="K2" s="6"/>
      <c r="L2" s="6"/>
      <c r="M2" s="6"/>
    </row>
    <row r="3" spans="1:13">
      <c r="A3" s="1844" t="s">
        <v>738</v>
      </c>
      <c r="B3" s="1844"/>
      <c r="C3" s="1844"/>
      <c r="D3" s="1844"/>
      <c r="E3" s="1844"/>
      <c r="F3" s="1844"/>
      <c r="G3" s="1844"/>
      <c r="H3" s="1844"/>
      <c r="I3" s="551"/>
      <c r="J3" s="6"/>
      <c r="K3" s="6"/>
      <c r="L3" s="6"/>
      <c r="M3" s="6"/>
    </row>
    <row r="4" spans="1:13">
      <c r="A4" s="1844" t="s">
        <v>1568</v>
      </c>
      <c r="B4" s="1844"/>
      <c r="C4" s="1844"/>
      <c r="D4" s="1844"/>
      <c r="E4" s="1844"/>
      <c r="F4" s="1844"/>
      <c r="G4" s="1844"/>
      <c r="H4" s="1844"/>
      <c r="I4" s="548"/>
      <c r="J4" s="6"/>
      <c r="K4" s="6"/>
      <c r="L4" s="6"/>
      <c r="M4" s="6"/>
    </row>
    <row r="5" spans="1:13" ht="14" thickBot="1">
      <c r="A5" s="42"/>
      <c r="B5" s="42"/>
      <c r="C5" s="42"/>
      <c r="D5" s="1096"/>
      <c r="E5" s="1096"/>
      <c r="F5" s="1847" t="s">
        <v>739</v>
      </c>
      <c r="G5" s="1847"/>
      <c r="H5" s="1847"/>
      <c r="J5" s="6"/>
      <c r="K5" s="6"/>
      <c r="L5" s="6"/>
      <c r="M5" s="6"/>
    </row>
    <row r="6" spans="1:13" ht="37.5" customHeight="1" thickTop="1">
      <c r="A6" s="43" t="s">
        <v>0</v>
      </c>
      <c r="B6" s="1107" t="s">
        <v>40</v>
      </c>
      <c r="C6" s="1107" t="s">
        <v>1</v>
      </c>
      <c r="D6" s="1110" t="s">
        <v>244</v>
      </c>
      <c r="E6" s="1110" t="s">
        <v>245</v>
      </c>
      <c r="F6" s="1110" t="s">
        <v>246</v>
      </c>
      <c r="G6" s="1107" t="s">
        <v>66</v>
      </c>
      <c r="H6" s="44" t="s">
        <v>2</v>
      </c>
      <c r="I6" s="11"/>
      <c r="J6" s="6"/>
      <c r="K6" s="6"/>
      <c r="L6" s="6"/>
      <c r="M6" s="6"/>
    </row>
    <row r="7" spans="1:13" s="1" customFormat="1" ht="28" customHeight="1">
      <c r="A7" s="1111" t="s">
        <v>113</v>
      </c>
      <c r="B7" s="957" t="s">
        <v>114</v>
      </c>
      <c r="C7" s="957" t="s">
        <v>115</v>
      </c>
      <c r="D7" s="957" t="s">
        <v>116</v>
      </c>
      <c r="E7" s="957" t="s">
        <v>117</v>
      </c>
      <c r="F7" s="957" t="s">
        <v>118</v>
      </c>
      <c r="G7" s="957" t="s">
        <v>119</v>
      </c>
      <c r="H7" s="1112" t="s">
        <v>120</v>
      </c>
      <c r="I7" s="550"/>
      <c r="J7" s="5"/>
      <c r="K7" s="5"/>
      <c r="L7" s="5"/>
      <c r="M7" s="5"/>
    </row>
    <row r="8" spans="1:13" s="1" customFormat="1" ht="28" customHeight="1">
      <c r="A8" s="1113" t="s">
        <v>5</v>
      </c>
      <c r="B8" s="956" t="s">
        <v>211</v>
      </c>
      <c r="C8" s="957"/>
      <c r="D8" s="957">
        <f>D9+D17</f>
        <v>778</v>
      </c>
      <c r="E8" s="957">
        <f>E9+E17</f>
        <v>829</v>
      </c>
      <c r="F8" s="957">
        <f>F9+F17</f>
        <v>141</v>
      </c>
      <c r="G8" s="957">
        <f>G9+G15</f>
        <v>1698</v>
      </c>
      <c r="H8" s="1112"/>
      <c r="I8" s="550"/>
      <c r="J8" s="5"/>
      <c r="K8" s="5"/>
      <c r="L8" s="5"/>
      <c r="M8" s="5"/>
    </row>
    <row r="9" spans="1:13" s="3" customFormat="1" ht="28" customHeight="1">
      <c r="A9" s="1114" t="s">
        <v>6</v>
      </c>
      <c r="B9" s="965" t="s">
        <v>4</v>
      </c>
      <c r="C9" s="965"/>
      <c r="D9" s="958">
        <f>SUM(D10:D14)</f>
        <v>598</v>
      </c>
      <c r="E9" s="958">
        <f>SUM(E10:E14)</f>
        <v>629</v>
      </c>
      <c r="F9" s="958">
        <f>SUM(F10:F14)</f>
        <v>91</v>
      </c>
      <c r="G9" s="958">
        <f>SUM(G10:G14)</f>
        <v>1318</v>
      </c>
      <c r="H9" s="1115"/>
      <c r="I9" s="12"/>
      <c r="J9" s="8"/>
      <c r="K9" s="8"/>
      <c r="L9" s="8"/>
      <c r="M9" s="8"/>
    </row>
    <row r="10" spans="1:13" s="28" customFormat="1" ht="28" customHeight="1">
      <c r="A10" s="1116"/>
      <c r="B10" s="959" t="s">
        <v>853</v>
      </c>
      <c r="C10" s="960" t="s">
        <v>65</v>
      </c>
      <c r="D10" s="961">
        <v>77</v>
      </c>
      <c r="E10" s="961">
        <v>82</v>
      </c>
      <c r="F10" s="961">
        <v>17</v>
      </c>
      <c r="G10" s="960">
        <v>176</v>
      </c>
      <c r="H10" s="1117"/>
      <c r="I10" s="13"/>
      <c r="J10" s="9"/>
      <c r="K10" s="9"/>
      <c r="L10" s="9"/>
      <c r="M10" s="9"/>
    </row>
    <row r="11" spans="1:13" s="28" customFormat="1" ht="28" customHeight="1">
      <c r="A11" s="1116"/>
      <c r="B11" s="959" t="s">
        <v>741</v>
      </c>
      <c r="C11" s="960" t="s">
        <v>65</v>
      </c>
      <c r="D11" s="962">
        <v>0</v>
      </c>
      <c r="E11" s="962">
        <v>0</v>
      </c>
      <c r="F11" s="962">
        <v>0</v>
      </c>
      <c r="G11" s="960">
        <f>SUM(D11:F11)</f>
        <v>0</v>
      </c>
      <c r="H11" s="1117"/>
      <c r="I11" s="13"/>
      <c r="J11" s="9"/>
      <c r="K11" s="9"/>
      <c r="L11" s="9"/>
      <c r="M11" s="9"/>
    </row>
    <row r="12" spans="1:13" s="28" customFormat="1" ht="28" customHeight="1">
      <c r="A12" s="1116"/>
      <c r="B12" s="959" t="s">
        <v>559</v>
      </c>
      <c r="C12" s="960" t="s">
        <v>65</v>
      </c>
      <c r="D12" s="962">
        <v>168</v>
      </c>
      <c r="E12" s="962">
        <v>122</v>
      </c>
      <c r="F12" s="962">
        <v>30</v>
      </c>
      <c r="G12" s="960">
        <v>320</v>
      </c>
      <c r="H12" s="1117"/>
      <c r="I12" s="13"/>
      <c r="J12" s="9"/>
      <c r="K12" s="9"/>
      <c r="L12" s="9"/>
      <c r="M12" s="9"/>
    </row>
    <row r="13" spans="1:13" s="28" customFormat="1" ht="28" customHeight="1">
      <c r="A13" s="1116"/>
      <c r="B13" s="959" t="s">
        <v>740</v>
      </c>
      <c r="C13" s="960" t="s">
        <v>65</v>
      </c>
      <c r="D13" s="960">
        <v>192</v>
      </c>
      <c r="E13" s="960">
        <v>175</v>
      </c>
      <c r="F13" s="846">
        <v>19</v>
      </c>
      <c r="G13" s="960">
        <f>SUM(D13:F13)</f>
        <v>386</v>
      </c>
      <c r="H13" s="1117"/>
      <c r="I13" s="13"/>
      <c r="J13" s="9"/>
      <c r="K13" s="9"/>
      <c r="L13" s="9"/>
      <c r="M13" s="9"/>
    </row>
    <row r="14" spans="1:13" s="28" customFormat="1" ht="28" customHeight="1">
      <c r="A14" s="1116"/>
      <c r="B14" s="959" t="s">
        <v>854</v>
      </c>
      <c r="C14" s="960" t="s">
        <v>65</v>
      </c>
      <c r="D14" s="967">
        <v>161</v>
      </c>
      <c r="E14" s="967">
        <v>250</v>
      </c>
      <c r="F14" s="967">
        <v>25</v>
      </c>
      <c r="G14" s="960">
        <f>SUM(D14:F14)</f>
        <v>436</v>
      </c>
      <c r="H14" s="1117"/>
      <c r="I14" s="13"/>
      <c r="J14" s="9"/>
      <c r="K14" s="9"/>
      <c r="L14" s="9"/>
      <c r="M14" s="9"/>
    </row>
    <row r="15" spans="1:13" s="28" customFormat="1" ht="28" customHeight="1">
      <c r="A15" s="1114" t="s">
        <v>7</v>
      </c>
      <c r="B15" s="964" t="s">
        <v>215</v>
      </c>
      <c r="C15" s="960" t="s">
        <v>63</v>
      </c>
      <c r="D15" s="958">
        <v>43</v>
      </c>
      <c r="E15" s="958">
        <f>E16+E20</f>
        <v>35</v>
      </c>
      <c r="F15" s="958">
        <v>302</v>
      </c>
      <c r="G15" s="965">
        <f>SUM(D15:F15)</f>
        <v>380</v>
      </c>
      <c r="H15" s="1117"/>
      <c r="I15" s="13"/>
      <c r="J15" s="9"/>
      <c r="K15" s="9"/>
      <c r="L15" s="9"/>
      <c r="M15" s="9"/>
    </row>
    <row r="16" spans="1:13" s="28" customFormat="1" ht="28" customHeight="1">
      <c r="A16" s="1118"/>
      <c r="B16" s="966" t="s">
        <v>856</v>
      </c>
      <c r="C16" s="1044"/>
      <c r="D16" s="1042">
        <v>43</v>
      </c>
      <c r="E16" s="1045">
        <v>35</v>
      </c>
      <c r="F16" s="1042">
        <v>302</v>
      </c>
      <c r="G16" s="1043">
        <v>402</v>
      </c>
      <c r="H16" s="1117"/>
      <c r="I16" s="13"/>
      <c r="J16" s="9"/>
      <c r="K16" s="9"/>
      <c r="L16" s="9"/>
      <c r="M16" s="9"/>
    </row>
    <row r="17" spans="1:13" s="4" customFormat="1" ht="56.25" customHeight="1" thickBot="1">
      <c r="A17" s="1119"/>
      <c r="B17" s="1120" t="s">
        <v>855</v>
      </c>
      <c r="C17" s="1121"/>
      <c r="D17" s="1122">
        <f>Bieu1!D15</f>
        <v>180</v>
      </c>
      <c r="E17" s="1122">
        <f>Bieu1!E15</f>
        <v>200</v>
      </c>
      <c r="F17" s="1122">
        <f>Bieu1!F15</f>
        <v>50</v>
      </c>
      <c r="G17" s="1123">
        <f>SUM(D17:F17)</f>
        <v>430</v>
      </c>
      <c r="H17" s="1124"/>
      <c r="I17" s="13"/>
      <c r="J17" s="9"/>
      <c r="K17" s="9"/>
      <c r="L17" s="9"/>
      <c r="M17" s="9"/>
    </row>
    <row r="18" spans="1:13" ht="14" thickTop="1">
      <c r="A18" s="550"/>
      <c r="B18" s="10"/>
      <c r="C18" s="10"/>
      <c r="D18" s="1051"/>
      <c r="E18" s="1847" t="s">
        <v>1456</v>
      </c>
      <c r="F18" s="1847"/>
      <c r="G18" s="1847"/>
      <c r="H18" s="1847"/>
      <c r="I18" s="11"/>
      <c r="J18" s="6"/>
      <c r="K18" s="6"/>
      <c r="L18" s="6"/>
      <c r="M18" s="6"/>
    </row>
    <row r="19" spans="1:13" ht="12.75" customHeight="1">
      <c r="A19" s="144"/>
      <c r="B19" s="145"/>
      <c r="C19" s="144"/>
      <c r="D19" s="119"/>
      <c r="E19" s="1848" t="s">
        <v>536</v>
      </c>
      <c r="F19" s="1848"/>
      <c r="G19" s="1848"/>
      <c r="H19" s="1848"/>
      <c r="J19" s="6"/>
      <c r="K19" s="6"/>
      <c r="L19" s="6"/>
      <c r="M19" s="6"/>
    </row>
    <row r="20" spans="1:13" ht="20.25" customHeight="1">
      <c r="A20" s="144"/>
      <c r="B20" s="144"/>
      <c r="C20" s="144"/>
      <c r="D20" s="119"/>
      <c r="E20" s="131"/>
      <c r="F20" s="131"/>
      <c r="G20" s="131"/>
      <c r="H20" s="549"/>
      <c r="J20" s="6"/>
      <c r="K20" s="6"/>
      <c r="L20" s="6"/>
      <c r="M20" s="6"/>
    </row>
    <row r="21" spans="1:13" ht="20.25" customHeight="1">
      <c r="A21" s="144"/>
      <c r="B21" s="144"/>
      <c r="C21" s="144"/>
      <c r="D21" s="119"/>
      <c r="E21" s="131"/>
      <c r="F21" s="131"/>
      <c r="G21" s="131"/>
      <c r="H21" s="872"/>
      <c r="J21" s="6"/>
      <c r="K21" s="6"/>
      <c r="L21" s="6"/>
      <c r="M21" s="6"/>
    </row>
    <row r="22" spans="1:13" ht="12.75" customHeight="1">
      <c r="A22" s="144"/>
      <c r="B22" s="144"/>
      <c r="C22" s="144"/>
      <c r="D22" s="119"/>
      <c r="E22" s="131"/>
      <c r="F22" s="131"/>
      <c r="G22" s="131"/>
      <c r="H22" s="549"/>
      <c r="J22" s="6"/>
      <c r="K22" s="6"/>
      <c r="L22" s="6"/>
      <c r="M22" s="6"/>
    </row>
    <row r="23" spans="1:13" ht="12.75" customHeight="1">
      <c r="A23" s="144"/>
      <c r="B23" s="144"/>
      <c r="C23" s="144"/>
      <c r="D23" s="119"/>
      <c r="E23" s="1842" t="s">
        <v>747</v>
      </c>
      <c r="F23" s="1842"/>
      <c r="G23" s="1842"/>
      <c r="H23" s="1842"/>
      <c r="J23" s="6"/>
      <c r="K23" s="6"/>
      <c r="L23" s="6"/>
      <c r="M23" s="6"/>
    </row>
    <row r="24" spans="1:13" ht="12.75" customHeight="1">
      <c r="A24" s="144"/>
      <c r="B24" s="144"/>
      <c r="C24" s="144"/>
      <c r="D24" s="119"/>
      <c r="E24" s="119"/>
      <c r="F24" s="119"/>
      <c r="G24" s="119"/>
      <c r="H24" s="144"/>
      <c r="I24" s="11"/>
      <c r="J24" s="6"/>
      <c r="K24" s="6"/>
      <c r="L24" s="6"/>
      <c r="M24" s="6"/>
    </row>
    <row r="25" spans="1:13" ht="12.75" customHeight="1">
      <c r="A25" s="144"/>
      <c r="B25" s="144"/>
      <c r="C25" s="144"/>
      <c r="D25" s="119"/>
      <c r="E25" s="119"/>
      <c r="F25" s="119"/>
      <c r="G25" s="119"/>
      <c r="H25" s="144"/>
      <c r="I25" s="11"/>
      <c r="J25" s="6"/>
      <c r="K25" s="6"/>
      <c r="L25" s="6"/>
      <c r="M25" s="6"/>
    </row>
    <row r="26" spans="1:13" ht="49.5" customHeight="1">
      <c r="A26" s="144"/>
      <c r="B26" s="144"/>
      <c r="C26" s="144"/>
      <c r="D26" s="119"/>
      <c r="E26" s="119"/>
      <c r="F26" s="119"/>
      <c r="G26" s="119"/>
      <c r="H26" s="144"/>
      <c r="I26" s="11"/>
      <c r="J26" s="6"/>
      <c r="K26" s="6"/>
      <c r="L26" s="6"/>
      <c r="M26" s="6"/>
    </row>
    <row r="27" spans="1:13" ht="34.5" customHeight="1">
      <c r="A27" s="1843"/>
      <c r="B27" s="1843"/>
      <c r="C27" s="1843"/>
      <c r="D27" s="1843"/>
      <c r="E27" s="1843"/>
      <c r="F27" s="1843"/>
      <c r="G27" s="1843"/>
      <c r="H27" s="1843"/>
      <c r="I27" s="11"/>
      <c r="J27" s="6"/>
      <c r="K27" s="6"/>
      <c r="L27" s="6"/>
      <c r="M27" s="6"/>
    </row>
    <row r="28" spans="1:13" ht="33.75" customHeight="1">
      <c r="A28" s="1843"/>
      <c r="B28" s="1843"/>
      <c r="C28" s="1843"/>
      <c r="D28" s="1843"/>
      <c r="E28" s="1843"/>
      <c r="F28" s="1843"/>
      <c r="G28" s="1843"/>
      <c r="H28" s="1843"/>
      <c r="I28" s="11"/>
      <c r="J28" s="6"/>
      <c r="K28" s="6"/>
      <c r="L28" s="6"/>
      <c r="M28" s="6"/>
    </row>
    <row r="29" spans="1:13">
      <c r="A29" s="119"/>
      <c r="B29" s="120"/>
      <c r="C29" s="120"/>
      <c r="D29" s="1101"/>
      <c r="E29" s="1101"/>
      <c r="F29" s="1101"/>
      <c r="G29" s="119"/>
      <c r="H29" s="121"/>
      <c r="I29" s="11"/>
      <c r="J29" s="6"/>
      <c r="K29" s="6"/>
      <c r="L29" s="6"/>
      <c r="M29" s="6"/>
    </row>
    <row r="30" spans="1:13">
      <c r="A30" s="550"/>
      <c r="B30" s="10"/>
      <c r="C30" s="10"/>
      <c r="D30" s="1051"/>
      <c r="E30" s="1051"/>
      <c r="F30" s="1051"/>
      <c r="G30" s="1097"/>
      <c r="H30" s="11"/>
      <c r="I30" s="11"/>
      <c r="J30" s="6"/>
      <c r="K30" s="6"/>
      <c r="L30" s="6"/>
      <c r="M30" s="6"/>
    </row>
    <row r="31" spans="1:13">
      <c r="A31" s="550"/>
      <c r="B31" s="10"/>
      <c r="C31" s="10"/>
      <c r="D31" s="1051"/>
      <c r="E31" s="1051"/>
      <c r="F31" s="1051"/>
      <c r="G31" s="1097"/>
      <c r="H31" s="11"/>
      <c r="I31" s="11"/>
      <c r="J31" s="6"/>
      <c r="K31" s="6"/>
      <c r="L31" s="6"/>
      <c r="M31" s="6"/>
    </row>
    <row r="32" spans="1:13">
      <c r="A32" s="550"/>
      <c r="B32" s="10"/>
      <c r="C32" s="10"/>
      <c r="D32" s="1051"/>
      <c r="E32" s="1051"/>
      <c r="F32" s="1051"/>
      <c r="G32" s="1097"/>
      <c r="H32" s="11"/>
      <c r="I32" s="11"/>
      <c r="J32" s="6"/>
      <c r="K32" s="6"/>
      <c r="L32" s="6"/>
      <c r="M32" s="6"/>
    </row>
    <row r="33" spans="1:13">
      <c r="A33" s="550"/>
      <c r="B33" s="10"/>
      <c r="C33" s="10"/>
      <c r="D33" s="1051"/>
      <c r="E33" s="1051"/>
      <c r="F33" s="1051"/>
      <c r="G33" s="1097"/>
      <c r="H33" s="11"/>
      <c r="I33" s="11"/>
      <c r="J33" s="6"/>
      <c r="K33" s="6"/>
      <c r="L33" s="6"/>
      <c r="M33" s="6"/>
    </row>
    <row r="34" spans="1:13">
      <c r="A34" s="550"/>
      <c r="B34" s="10"/>
      <c r="C34" s="10"/>
      <c r="D34" s="1051"/>
      <c r="E34" s="1051"/>
      <c r="F34" s="1051"/>
      <c r="G34" s="1097"/>
      <c r="H34" s="11"/>
      <c r="I34" s="11"/>
      <c r="J34" s="6"/>
      <c r="K34" s="6"/>
      <c r="L34" s="6"/>
      <c r="M34" s="6"/>
    </row>
    <row r="35" spans="1:13">
      <c r="A35" s="550"/>
      <c r="B35" s="10"/>
      <c r="C35" s="10"/>
      <c r="D35" s="1051"/>
      <c r="E35" s="1051"/>
      <c r="F35" s="1051"/>
      <c r="G35" s="1097"/>
      <c r="H35" s="11"/>
      <c r="I35" s="11"/>
      <c r="J35" s="6"/>
      <c r="K35" s="6"/>
      <c r="L35" s="6"/>
      <c r="M35" s="6"/>
    </row>
    <row r="36" spans="1:13">
      <c r="A36" s="550"/>
      <c r="B36" s="10"/>
      <c r="C36" s="10"/>
      <c r="D36" s="1051"/>
      <c r="E36" s="1051"/>
      <c r="F36" s="1051"/>
      <c r="G36" s="1097"/>
      <c r="H36" s="11"/>
      <c r="I36" s="11"/>
      <c r="J36" s="6"/>
      <c r="K36" s="6"/>
      <c r="L36" s="6"/>
      <c r="M36" s="6"/>
    </row>
    <row r="37" spans="1:13">
      <c r="A37" s="550"/>
      <c r="B37" s="10"/>
      <c r="C37" s="10"/>
      <c r="D37" s="1051"/>
      <c r="E37" s="1051"/>
      <c r="F37" s="1051"/>
      <c r="G37" s="1097"/>
      <c r="H37" s="11"/>
      <c r="I37" s="11"/>
      <c r="J37" s="6"/>
      <c r="K37" s="6"/>
      <c r="L37" s="6"/>
      <c r="M37" s="6"/>
    </row>
    <row r="38" spans="1:13">
      <c r="A38" s="550"/>
      <c r="B38" s="10"/>
      <c r="C38" s="10"/>
      <c r="D38" s="1051"/>
      <c r="E38" s="1051"/>
      <c r="F38" s="1051"/>
      <c r="G38" s="1097"/>
      <c r="H38" s="11"/>
      <c r="I38" s="11"/>
      <c r="J38" s="6"/>
      <c r="K38" s="6"/>
      <c r="L38" s="6"/>
      <c r="M38" s="6"/>
    </row>
    <row r="39" spans="1:13">
      <c r="A39" s="550"/>
      <c r="B39" s="10"/>
      <c r="C39" s="10"/>
      <c r="D39" s="1051"/>
      <c r="E39" s="1051"/>
      <c r="F39" s="1051"/>
      <c r="G39" s="1097"/>
      <c r="H39" s="11"/>
      <c r="I39" s="11"/>
      <c r="J39" s="6"/>
      <c r="K39" s="6"/>
      <c r="L39" s="6"/>
      <c r="M39" s="6"/>
    </row>
    <row r="40" spans="1:13">
      <c r="A40" s="550"/>
      <c r="B40" s="10"/>
      <c r="C40" s="10"/>
      <c r="D40" s="1051"/>
      <c r="E40" s="1051"/>
      <c r="F40" s="1051"/>
      <c r="G40" s="1097"/>
      <c r="H40" s="11"/>
      <c r="I40" s="11"/>
      <c r="J40" s="6"/>
      <c r="K40" s="6"/>
      <c r="L40" s="6"/>
      <c r="M40" s="6"/>
    </row>
    <row r="41" spans="1:13">
      <c r="A41" s="550"/>
      <c r="B41" s="10"/>
      <c r="C41" s="10"/>
      <c r="D41" s="1051"/>
      <c r="E41" s="1051"/>
      <c r="F41" s="1051"/>
      <c r="G41" s="1097"/>
      <c r="H41" s="11"/>
      <c r="I41" s="11"/>
      <c r="J41" s="6"/>
      <c r="K41" s="6"/>
      <c r="L41" s="6"/>
      <c r="M41" s="6"/>
    </row>
    <row r="42" spans="1:13">
      <c r="A42" s="550"/>
      <c r="B42" s="10"/>
      <c r="C42" s="10"/>
      <c r="D42" s="1051"/>
      <c r="E42" s="1051"/>
      <c r="F42" s="1051"/>
      <c r="G42" s="1097"/>
      <c r="H42" s="11"/>
      <c r="I42" s="11"/>
      <c r="J42" s="6"/>
      <c r="K42" s="6"/>
      <c r="L42" s="6"/>
      <c r="M42" s="6"/>
    </row>
    <row r="43" spans="1:13">
      <c r="A43" s="550"/>
      <c r="B43" s="10"/>
      <c r="C43" s="10"/>
      <c r="D43" s="1051"/>
      <c r="E43" s="1051"/>
      <c r="F43" s="1051"/>
      <c r="G43" s="1097"/>
      <c r="H43" s="11"/>
      <c r="I43" s="11"/>
      <c r="J43" s="6"/>
      <c r="K43" s="6"/>
      <c r="L43" s="6"/>
      <c r="M43" s="6"/>
    </row>
    <row r="44" spans="1:13">
      <c r="A44" s="550"/>
      <c r="B44" s="10"/>
      <c r="C44" s="10"/>
      <c r="D44" s="1051"/>
      <c r="E44" s="1051"/>
      <c r="F44" s="1051"/>
      <c r="G44" s="1097"/>
      <c r="H44" s="11"/>
      <c r="I44" s="11"/>
      <c r="J44" s="6"/>
      <c r="K44" s="6"/>
      <c r="L44" s="6"/>
      <c r="M44" s="6"/>
    </row>
    <row r="45" spans="1:13">
      <c r="A45" s="550"/>
      <c r="B45" s="10"/>
      <c r="C45" s="10"/>
      <c r="D45" s="1051"/>
      <c r="E45" s="1051"/>
      <c r="F45" s="1051"/>
      <c r="G45" s="1097"/>
      <c r="H45" s="11"/>
      <c r="I45" s="11"/>
      <c r="J45" s="6"/>
      <c r="K45" s="6"/>
      <c r="L45" s="6"/>
      <c r="M45" s="6"/>
    </row>
    <row r="46" spans="1:13">
      <c r="A46" s="550"/>
      <c r="B46" s="10"/>
      <c r="C46" s="10"/>
      <c r="D46" s="1051"/>
      <c r="E46" s="1051"/>
      <c r="F46" s="1051"/>
      <c r="G46" s="1097"/>
      <c r="H46" s="11"/>
      <c r="I46" s="11"/>
      <c r="J46" s="6"/>
      <c r="K46" s="6"/>
      <c r="L46" s="6"/>
      <c r="M46" s="6"/>
    </row>
    <row r="47" spans="1:13">
      <c r="A47" s="550"/>
      <c r="B47" s="10"/>
      <c r="C47" s="10"/>
      <c r="D47" s="1051"/>
      <c r="E47" s="1051"/>
      <c r="F47" s="1051"/>
      <c r="G47" s="1097"/>
      <c r="H47" s="11"/>
      <c r="I47" s="11"/>
      <c r="J47" s="6"/>
      <c r="K47" s="6"/>
      <c r="L47" s="6"/>
      <c r="M47" s="6"/>
    </row>
    <row r="48" spans="1:13">
      <c r="A48" s="550"/>
      <c r="B48" s="10"/>
      <c r="C48" s="10"/>
      <c r="D48" s="1051"/>
      <c r="E48" s="1051"/>
      <c r="F48" s="1051"/>
      <c r="G48" s="1097"/>
      <c r="H48" s="11"/>
      <c r="I48" s="11"/>
      <c r="J48" s="6"/>
      <c r="K48" s="6"/>
      <c r="L48" s="6"/>
      <c r="M48" s="6"/>
    </row>
    <row r="49" spans="1:13">
      <c r="A49" s="5"/>
      <c r="B49" s="7"/>
      <c r="C49" s="7"/>
      <c r="D49" s="374"/>
      <c r="E49" s="374"/>
      <c r="F49" s="374"/>
      <c r="G49" s="5"/>
      <c r="H49" s="6"/>
      <c r="I49" s="6"/>
      <c r="J49" s="6"/>
      <c r="K49" s="6"/>
      <c r="L49" s="6"/>
      <c r="M49" s="6"/>
    </row>
  </sheetData>
  <mergeCells count="10">
    <mergeCell ref="A1:B1"/>
    <mergeCell ref="A2:B2"/>
    <mergeCell ref="F5:H5"/>
    <mergeCell ref="E18:H18"/>
    <mergeCell ref="E19:H19"/>
    <mergeCell ref="E23:H23"/>
    <mergeCell ref="A27:H27"/>
    <mergeCell ref="A28:H28"/>
    <mergeCell ref="A3:H3"/>
    <mergeCell ref="A4:H4"/>
  </mergeCells>
  <pageMargins left="0.93" right="0.27" top="0.76" bottom="0.53" header="0.42"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7"/>
  <sheetViews>
    <sheetView view="pageBreakPreview" topLeftCell="B2" zoomScale="180" zoomScaleNormal="150" zoomScaleSheetLayoutView="180" workbookViewId="0">
      <selection activeCell="G8" sqref="G8"/>
    </sheetView>
  </sheetViews>
  <sheetFormatPr baseColWidth="10" defaultColWidth="8.83203125" defaultRowHeight="13"/>
  <cols>
    <col min="1" max="1" width="5.5" style="1040" customWidth="1"/>
    <col min="2" max="2" width="31.5" style="2" customWidth="1"/>
    <col min="3" max="3" width="8.5" style="2" customWidth="1"/>
    <col min="4" max="6" width="9.33203125" style="2" customWidth="1"/>
    <col min="7" max="8" width="9.33203125" customWidth="1"/>
  </cols>
  <sheetData>
    <row r="1" spans="1:13" ht="14.25" customHeight="1">
      <c r="A1" s="1845" t="s">
        <v>3</v>
      </c>
      <c r="B1" s="1845"/>
      <c r="C1" s="10"/>
      <c r="D1" s="10"/>
      <c r="E1" s="10"/>
      <c r="F1" s="10"/>
      <c r="G1" s="545" t="s">
        <v>241</v>
      </c>
      <c r="H1" s="545"/>
      <c r="J1" s="6"/>
      <c r="K1" s="6"/>
      <c r="L1" s="6"/>
      <c r="M1" s="6"/>
    </row>
    <row r="2" spans="1:13">
      <c r="A2" s="1846" t="s">
        <v>558</v>
      </c>
      <c r="B2" s="1846"/>
      <c r="C2" s="10"/>
      <c r="D2" s="10"/>
      <c r="E2" s="10"/>
      <c r="F2" s="10"/>
      <c r="G2" s="10"/>
      <c r="H2" s="11"/>
      <c r="I2" s="11"/>
      <c r="J2" s="6"/>
      <c r="K2" s="6"/>
      <c r="L2" s="6"/>
      <c r="M2" s="6"/>
    </row>
    <row r="3" spans="1:13">
      <c r="A3" s="1844" t="s">
        <v>866</v>
      </c>
      <c r="B3" s="1844"/>
      <c r="C3" s="1844"/>
      <c r="D3" s="1844"/>
      <c r="E3" s="1844"/>
      <c r="F3" s="1844"/>
      <c r="G3" s="1844"/>
      <c r="H3" s="1844"/>
      <c r="I3" s="1844"/>
      <c r="J3" s="6"/>
      <c r="K3" s="6"/>
      <c r="L3" s="6"/>
      <c r="M3" s="6"/>
    </row>
    <row r="4" spans="1:13" ht="14" thickBot="1">
      <c r="A4" s="1036"/>
      <c r="B4" s="42"/>
      <c r="C4" s="42"/>
      <c r="D4" s="42"/>
      <c r="E4" s="42"/>
      <c r="F4" s="1847" t="s">
        <v>557</v>
      </c>
      <c r="G4" s="1847"/>
      <c r="H4" s="1847"/>
      <c r="J4" s="6"/>
      <c r="K4" s="6"/>
      <c r="L4" s="6"/>
      <c r="M4" s="6"/>
    </row>
    <row r="5" spans="1:13" ht="37.5" customHeight="1" thickTop="1">
      <c r="A5" s="43" t="s">
        <v>0</v>
      </c>
      <c r="B5" s="1107" t="s">
        <v>40</v>
      </c>
      <c r="C5" s="1107" t="s">
        <v>1</v>
      </c>
      <c r="D5" s="1110" t="s">
        <v>244</v>
      </c>
      <c r="E5" s="1110" t="s">
        <v>245</v>
      </c>
      <c r="F5" s="1110" t="s">
        <v>246</v>
      </c>
      <c r="G5" s="1107" t="s">
        <v>66</v>
      </c>
      <c r="H5" s="44" t="s">
        <v>2</v>
      </c>
      <c r="I5" s="11"/>
      <c r="J5" s="6"/>
      <c r="K5" s="6"/>
      <c r="L5" s="6"/>
      <c r="M5" s="6"/>
    </row>
    <row r="6" spans="1:13" s="1" customFormat="1" ht="14">
      <c r="A6" s="1111" t="s">
        <v>113</v>
      </c>
      <c r="B6" s="957" t="s">
        <v>114</v>
      </c>
      <c r="C6" s="957" t="s">
        <v>115</v>
      </c>
      <c r="D6" s="957" t="s">
        <v>116</v>
      </c>
      <c r="E6" s="957" t="s">
        <v>117</v>
      </c>
      <c r="F6" s="957" t="s">
        <v>118</v>
      </c>
      <c r="G6" s="957" t="s">
        <v>119</v>
      </c>
      <c r="H6" s="1112" t="s">
        <v>120</v>
      </c>
      <c r="I6" s="39"/>
      <c r="J6" s="5"/>
      <c r="K6" s="5"/>
      <c r="L6" s="5"/>
      <c r="M6" s="5"/>
    </row>
    <row r="7" spans="1:13" s="1" customFormat="1" ht="14">
      <c r="A7" s="1113" t="s">
        <v>5</v>
      </c>
      <c r="B7" s="956" t="s">
        <v>211</v>
      </c>
      <c r="C7" s="957"/>
      <c r="D7" s="957">
        <f>D8+D16+D22</f>
        <v>854</v>
      </c>
      <c r="E7" s="957">
        <f>E8+E16+E22</f>
        <v>924</v>
      </c>
      <c r="F7" s="957">
        <f>F8+F16+F22</f>
        <v>703</v>
      </c>
      <c r="G7" s="957">
        <f>G8+G16+G22</f>
        <v>2481</v>
      </c>
      <c r="H7" s="1112"/>
      <c r="I7" s="118"/>
      <c r="J7" s="5"/>
      <c r="K7" s="5"/>
      <c r="L7" s="5"/>
      <c r="M7" s="5"/>
    </row>
    <row r="8" spans="1:13" s="28" customFormat="1" ht="32.25" customHeight="1">
      <c r="A8" s="1125" t="s">
        <v>6</v>
      </c>
      <c r="B8" s="1046" t="s">
        <v>4</v>
      </c>
      <c r="C8" s="960" t="s">
        <v>65</v>
      </c>
      <c r="D8" s="958">
        <f>D9+D15</f>
        <v>778</v>
      </c>
      <c r="E8" s="958">
        <f>E9+E15</f>
        <v>829</v>
      </c>
      <c r="F8" s="958">
        <f>F9+F15</f>
        <v>141</v>
      </c>
      <c r="G8" s="957">
        <f>SUM(D8:F8)</f>
        <v>1748</v>
      </c>
      <c r="H8" s="1117"/>
      <c r="I8" s="13"/>
      <c r="J8" s="9"/>
      <c r="K8" s="9"/>
      <c r="L8" s="9"/>
      <c r="M8" s="9"/>
    </row>
    <row r="9" spans="1:13" s="28" customFormat="1" ht="14">
      <c r="A9" s="1116" t="s">
        <v>122</v>
      </c>
      <c r="B9" s="959" t="s">
        <v>867</v>
      </c>
      <c r="C9" s="960" t="s">
        <v>65</v>
      </c>
      <c r="D9" s="962">
        <f>SUM(D10:D14)</f>
        <v>598</v>
      </c>
      <c r="E9" s="962">
        <f>SUM(E10:E14)</f>
        <v>629</v>
      </c>
      <c r="F9" s="962">
        <f>SUM(F10:F14)</f>
        <v>91</v>
      </c>
      <c r="G9" s="960">
        <f>SUM(D9:F9)</f>
        <v>1318</v>
      </c>
      <c r="H9" s="1117"/>
      <c r="I9" s="13"/>
      <c r="J9" s="9"/>
      <c r="K9" s="9"/>
      <c r="L9" s="9"/>
      <c r="M9" s="9"/>
    </row>
    <row r="10" spans="1:13" s="28" customFormat="1" ht="14">
      <c r="A10" s="1116"/>
      <c r="B10" s="959" t="s">
        <v>853</v>
      </c>
      <c r="C10" s="960" t="s">
        <v>65</v>
      </c>
      <c r="D10" s="961">
        <v>77</v>
      </c>
      <c r="E10" s="961">
        <v>82</v>
      </c>
      <c r="F10" s="961">
        <v>17</v>
      </c>
      <c r="G10" s="960">
        <f t="shared" ref="G10:G15" si="0">SUM(D10:F10)</f>
        <v>176</v>
      </c>
      <c r="H10" s="1117"/>
      <c r="I10" s="13"/>
      <c r="J10" s="9"/>
      <c r="K10" s="9"/>
      <c r="L10" s="9"/>
      <c r="M10" s="9"/>
    </row>
    <row r="11" spans="1:13" s="28" customFormat="1" ht="14">
      <c r="A11" s="1116"/>
      <c r="B11" s="959" t="s">
        <v>741</v>
      </c>
      <c r="C11" s="960" t="s">
        <v>65</v>
      </c>
      <c r="D11" s="962">
        <v>0</v>
      </c>
      <c r="E11" s="962">
        <v>0</v>
      </c>
      <c r="F11" s="962">
        <v>0</v>
      </c>
      <c r="G11" s="960">
        <f t="shared" si="0"/>
        <v>0</v>
      </c>
      <c r="H11" s="1117"/>
      <c r="I11" s="13"/>
      <c r="J11" s="9"/>
      <c r="K11" s="9"/>
      <c r="L11" s="9"/>
      <c r="M11" s="9"/>
    </row>
    <row r="12" spans="1:13" s="28" customFormat="1" ht="14">
      <c r="A12" s="1116"/>
      <c r="B12" s="959" t="s">
        <v>559</v>
      </c>
      <c r="C12" s="960" t="s">
        <v>65</v>
      </c>
      <c r="D12" s="962">
        <v>168</v>
      </c>
      <c r="E12" s="962">
        <v>122</v>
      </c>
      <c r="F12" s="962">
        <v>30</v>
      </c>
      <c r="G12" s="960">
        <f t="shared" si="0"/>
        <v>320</v>
      </c>
      <c r="H12" s="1117"/>
      <c r="I12" s="13"/>
      <c r="J12" s="9"/>
      <c r="K12" s="9"/>
      <c r="L12" s="9"/>
      <c r="M12" s="9"/>
    </row>
    <row r="13" spans="1:13" s="28" customFormat="1" ht="14">
      <c r="A13" s="1116"/>
      <c r="B13" s="959" t="s">
        <v>740</v>
      </c>
      <c r="C13" s="960" t="s">
        <v>65</v>
      </c>
      <c r="D13" s="960">
        <v>192</v>
      </c>
      <c r="E13" s="960">
        <v>175</v>
      </c>
      <c r="F13" s="846">
        <v>19</v>
      </c>
      <c r="G13" s="960">
        <f t="shared" si="0"/>
        <v>386</v>
      </c>
      <c r="H13" s="1117"/>
      <c r="I13" s="13"/>
      <c r="J13" s="9"/>
      <c r="K13" s="9"/>
      <c r="L13" s="9"/>
      <c r="M13" s="9"/>
    </row>
    <row r="14" spans="1:13" s="28" customFormat="1" ht="14">
      <c r="A14" s="1116"/>
      <c r="B14" s="959" t="s">
        <v>854</v>
      </c>
      <c r="C14" s="960" t="s">
        <v>65</v>
      </c>
      <c r="D14" s="963">
        <v>161</v>
      </c>
      <c r="E14" s="963">
        <v>250</v>
      </c>
      <c r="F14" s="963">
        <v>25</v>
      </c>
      <c r="G14" s="960">
        <f t="shared" si="0"/>
        <v>436</v>
      </c>
      <c r="H14" s="1117"/>
      <c r="I14" s="13"/>
      <c r="J14" s="9"/>
      <c r="K14" s="9"/>
      <c r="L14" s="9"/>
      <c r="M14" s="9"/>
    </row>
    <row r="15" spans="1:13" s="28" customFormat="1" ht="28">
      <c r="A15" s="1116" t="s">
        <v>562</v>
      </c>
      <c r="B15" s="959" t="s">
        <v>878</v>
      </c>
      <c r="C15" s="960" t="s">
        <v>65</v>
      </c>
      <c r="D15" s="960">
        <v>180</v>
      </c>
      <c r="E15" s="960">
        <v>200</v>
      </c>
      <c r="F15" s="960">
        <v>50</v>
      </c>
      <c r="G15" s="960">
        <f t="shared" si="0"/>
        <v>430</v>
      </c>
      <c r="H15" s="1117"/>
      <c r="I15" s="13"/>
      <c r="J15" s="9"/>
      <c r="K15" s="9"/>
      <c r="L15" s="9"/>
      <c r="M15" s="9"/>
    </row>
    <row r="16" spans="1:13" s="28" customFormat="1" ht="14">
      <c r="A16" s="1114" t="s">
        <v>7</v>
      </c>
      <c r="B16" s="964" t="s">
        <v>215</v>
      </c>
      <c r="C16" s="960" t="s">
        <v>63</v>
      </c>
      <c r="D16" s="958">
        <f>D17+D20</f>
        <v>76</v>
      </c>
      <c r="E16" s="958">
        <f>E17+E20</f>
        <v>95</v>
      </c>
      <c r="F16" s="958">
        <f>F17+F20</f>
        <v>532</v>
      </c>
      <c r="G16" s="965">
        <f>SUM(D16:F16)</f>
        <v>703</v>
      </c>
      <c r="H16" s="1117"/>
      <c r="I16" s="13"/>
      <c r="J16" s="9"/>
      <c r="K16" s="9"/>
      <c r="L16" s="9"/>
      <c r="M16" s="9"/>
    </row>
    <row r="17" spans="1:13" s="28" customFormat="1" ht="14">
      <c r="A17" s="1116" t="s">
        <v>122</v>
      </c>
      <c r="B17" s="959" t="s">
        <v>858</v>
      </c>
      <c r="C17" s="960" t="s">
        <v>63</v>
      </c>
      <c r="D17" s="962">
        <f>SUM(D18:D19)</f>
        <v>56</v>
      </c>
      <c r="E17" s="962">
        <f>SUM(E18:E19)</f>
        <v>75</v>
      </c>
      <c r="F17" s="962">
        <f>SUM(F18:F19)</f>
        <v>482</v>
      </c>
      <c r="G17" s="960">
        <f>SUM(D17:F17)</f>
        <v>613</v>
      </c>
      <c r="H17" s="1117"/>
      <c r="I17" s="13"/>
      <c r="J17" s="9"/>
      <c r="K17" s="9"/>
      <c r="L17" s="9"/>
      <c r="M17" s="9"/>
    </row>
    <row r="18" spans="1:13" s="28" customFormat="1" ht="28">
      <c r="A18" s="1116"/>
      <c r="B18" s="959" t="s">
        <v>859</v>
      </c>
      <c r="C18" s="960" t="s">
        <v>63</v>
      </c>
      <c r="D18" s="962">
        <v>43</v>
      </c>
      <c r="E18" s="967">
        <v>35</v>
      </c>
      <c r="F18" s="962">
        <v>302</v>
      </c>
      <c r="G18" s="960">
        <f>SUM(D18:F18)</f>
        <v>380</v>
      </c>
      <c r="H18" s="1117"/>
      <c r="I18" s="13"/>
      <c r="J18" s="9"/>
      <c r="K18" s="9"/>
      <c r="L18" s="9"/>
      <c r="M18" s="9"/>
    </row>
    <row r="19" spans="1:13" s="28" customFormat="1" ht="14">
      <c r="A19" s="1116"/>
      <c r="B19" s="959" t="s">
        <v>860</v>
      </c>
      <c r="C19" s="960" t="s">
        <v>63</v>
      </c>
      <c r="D19" s="960">
        <v>13</v>
      </c>
      <c r="E19" s="960">
        <v>40</v>
      </c>
      <c r="F19" s="960">
        <v>180</v>
      </c>
      <c r="G19" s="960">
        <f>SUM(D19:F19)</f>
        <v>233</v>
      </c>
      <c r="H19" s="1117"/>
      <c r="I19" s="13"/>
      <c r="J19" s="9"/>
      <c r="K19" s="9"/>
      <c r="L19" s="9"/>
      <c r="M19" s="9"/>
    </row>
    <row r="20" spans="1:13" s="9" customFormat="1" ht="25.5" customHeight="1">
      <c r="A20" s="1116">
        <v>1.2</v>
      </c>
      <c r="B20" s="959" t="s">
        <v>861</v>
      </c>
      <c r="C20" s="960"/>
      <c r="D20" s="963">
        <v>20</v>
      </c>
      <c r="E20" s="963">
        <v>20</v>
      </c>
      <c r="F20" s="963">
        <v>50</v>
      </c>
      <c r="G20" s="960">
        <f>D20+E20+F20</f>
        <v>90</v>
      </c>
      <c r="H20" s="1117"/>
      <c r="I20" s="13"/>
    </row>
    <row r="21" spans="1:13" s="28" customFormat="1" ht="28">
      <c r="A21" s="1116">
        <v>1.3</v>
      </c>
      <c r="B21" s="959" t="s">
        <v>862</v>
      </c>
      <c r="C21" s="960" t="s">
        <v>63</v>
      </c>
      <c r="D21" s="960">
        <v>0</v>
      </c>
      <c r="E21" s="846">
        <v>0</v>
      </c>
      <c r="F21" s="960">
        <v>0</v>
      </c>
      <c r="G21" s="960">
        <f>D21+E21+F21</f>
        <v>0</v>
      </c>
      <c r="H21" s="1117"/>
      <c r="I21" s="13"/>
      <c r="J21" s="9"/>
      <c r="K21" s="9"/>
      <c r="L21" s="9"/>
      <c r="M21" s="9"/>
    </row>
    <row r="22" spans="1:13" s="28" customFormat="1" ht="14">
      <c r="A22" s="1114" t="s">
        <v>24</v>
      </c>
      <c r="B22" s="964" t="s">
        <v>64</v>
      </c>
      <c r="C22" s="960" t="s">
        <v>63</v>
      </c>
      <c r="D22" s="965">
        <f>D23+D28</f>
        <v>0</v>
      </c>
      <c r="E22" s="965">
        <f>E23+E28</f>
        <v>0</v>
      </c>
      <c r="F22" s="965">
        <f>F23+F28</f>
        <v>30</v>
      </c>
      <c r="G22" s="965">
        <f t="shared" ref="G22:G28" si="1">SUM(D22:F22)</f>
        <v>30</v>
      </c>
      <c r="H22" s="1117"/>
      <c r="I22" s="13"/>
      <c r="J22" s="9"/>
      <c r="K22" s="9"/>
      <c r="L22" s="9"/>
      <c r="M22" s="9"/>
    </row>
    <row r="23" spans="1:13" s="28" customFormat="1" ht="14">
      <c r="A23" s="1116" t="s">
        <v>122</v>
      </c>
      <c r="B23" s="959" t="s">
        <v>863</v>
      </c>
      <c r="C23" s="960" t="s">
        <v>63</v>
      </c>
      <c r="D23" s="960">
        <f>SUM(D24:D27)</f>
        <v>0</v>
      </c>
      <c r="E23" s="960">
        <f>SUM(E24:E27)</f>
        <v>0</v>
      </c>
      <c r="F23" s="960">
        <f>SUM(F24:F27)</f>
        <v>27</v>
      </c>
      <c r="G23" s="960">
        <f t="shared" si="1"/>
        <v>27</v>
      </c>
      <c r="H23" s="1117"/>
      <c r="I23" s="13"/>
      <c r="J23" s="9"/>
      <c r="K23" s="9"/>
      <c r="L23" s="9"/>
      <c r="M23" s="9"/>
    </row>
    <row r="24" spans="1:13" s="28" customFormat="1" ht="14">
      <c r="A24" s="1116"/>
      <c r="B24" s="959" t="s">
        <v>864</v>
      </c>
      <c r="C24" s="960" t="s">
        <v>63</v>
      </c>
      <c r="D24" s="960">
        <v>0</v>
      </c>
      <c r="E24" s="960">
        <v>0</v>
      </c>
      <c r="F24" s="960">
        <v>7</v>
      </c>
      <c r="G24" s="960">
        <f t="shared" si="1"/>
        <v>7</v>
      </c>
      <c r="H24" s="1117"/>
      <c r="I24" s="13"/>
      <c r="J24" s="9"/>
      <c r="K24" s="9"/>
      <c r="L24" s="9"/>
      <c r="M24" s="9"/>
    </row>
    <row r="25" spans="1:13" s="28" customFormat="1" ht="14">
      <c r="A25" s="1116"/>
      <c r="B25" s="959" t="s">
        <v>560</v>
      </c>
      <c r="C25" s="960" t="s">
        <v>63</v>
      </c>
      <c r="D25" s="960">
        <v>0</v>
      </c>
      <c r="E25" s="960">
        <v>0</v>
      </c>
      <c r="F25" s="960">
        <v>10</v>
      </c>
      <c r="G25" s="960">
        <f t="shared" si="1"/>
        <v>10</v>
      </c>
      <c r="H25" s="1117"/>
      <c r="I25" s="13"/>
      <c r="J25" s="9"/>
      <c r="K25" s="9"/>
      <c r="L25" s="9"/>
      <c r="M25" s="9"/>
    </row>
    <row r="26" spans="1:13" s="28" customFormat="1" ht="14">
      <c r="A26" s="1116"/>
      <c r="B26" s="959" t="s">
        <v>743</v>
      </c>
      <c r="C26" s="960" t="s">
        <v>63</v>
      </c>
      <c r="D26" s="960">
        <v>0</v>
      </c>
      <c r="E26" s="960">
        <v>0</v>
      </c>
      <c r="F26" s="960">
        <v>5</v>
      </c>
      <c r="G26" s="960">
        <f t="shared" si="1"/>
        <v>5</v>
      </c>
      <c r="H26" s="1117"/>
      <c r="I26" s="13"/>
      <c r="J26" s="9"/>
      <c r="K26" s="9"/>
      <c r="L26" s="9"/>
      <c r="M26" s="9"/>
    </row>
    <row r="27" spans="1:13" s="28" customFormat="1" ht="14">
      <c r="A27" s="1116"/>
      <c r="B27" s="959" t="s">
        <v>865</v>
      </c>
      <c r="C27" s="960" t="s">
        <v>63</v>
      </c>
      <c r="D27" s="960">
        <v>0</v>
      </c>
      <c r="E27" s="960">
        <v>0</v>
      </c>
      <c r="F27" s="960">
        <v>5</v>
      </c>
      <c r="G27" s="960">
        <f t="shared" si="1"/>
        <v>5</v>
      </c>
      <c r="H27" s="1117"/>
      <c r="I27" s="13"/>
      <c r="J27" s="9"/>
      <c r="K27" s="9"/>
      <c r="L27" s="9"/>
      <c r="M27" s="9"/>
    </row>
    <row r="28" spans="1:13" s="28" customFormat="1" ht="14">
      <c r="A28" s="1116" t="s">
        <v>562</v>
      </c>
      <c r="B28" s="959" t="s">
        <v>1635</v>
      </c>
      <c r="C28" s="960" t="s">
        <v>216</v>
      </c>
      <c r="D28" s="960">
        <f>D29+D32</f>
        <v>0</v>
      </c>
      <c r="E28" s="960">
        <f>E29+E32</f>
        <v>0</v>
      </c>
      <c r="F28" s="962">
        <v>3</v>
      </c>
      <c r="G28" s="960">
        <f t="shared" si="1"/>
        <v>3</v>
      </c>
      <c r="H28" s="1117"/>
      <c r="I28" s="13"/>
      <c r="J28" s="9"/>
      <c r="K28" s="9"/>
      <c r="L28" s="9"/>
      <c r="M28" s="9"/>
    </row>
    <row r="29" spans="1:13" s="28" customFormat="1" ht="14">
      <c r="A29" s="1114" t="s">
        <v>35</v>
      </c>
      <c r="B29" s="1047" t="s">
        <v>212</v>
      </c>
      <c r="C29" s="960" t="s">
        <v>216</v>
      </c>
      <c r="D29" s="960">
        <f>D30+D31</f>
        <v>0</v>
      </c>
      <c r="E29" s="960">
        <f>E30+E31</f>
        <v>0</v>
      </c>
      <c r="F29" s="960">
        <f>F30+F31</f>
        <v>0</v>
      </c>
      <c r="G29" s="960">
        <f>G30+G31</f>
        <v>0</v>
      </c>
      <c r="H29" s="1117"/>
      <c r="I29" s="13"/>
      <c r="J29" s="9"/>
      <c r="K29" s="9"/>
      <c r="L29" s="9"/>
      <c r="M29" s="9"/>
    </row>
    <row r="30" spans="1:13" s="28" customFormat="1" ht="28">
      <c r="A30" s="1116" t="s">
        <v>122</v>
      </c>
      <c r="B30" s="959" t="s">
        <v>868</v>
      </c>
      <c r="C30" s="960" t="s">
        <v>216</v>
      </c>
      <c r="D30" s="960">
        <v>0</v>
      </c>
      <c r="E30" s="960">
        <v>0</v>
      </c>
      <c r="F30" s="960">
        <v>0</v>
      </c>
      <c r="G30" s="960">
        <v>0</v>
      </c>
      <c r="H30" s="1117"/>
      <c r="I30" s="13"/>
      <c r="J30" s="9"/>
      <c r="K30" s="9"/>
      <c r="L30" s="9"/>
      <c r="M30" s="9"/>
    </row>
    <row r="31" spans="1:13" s="28" customFormat="1" ht="14">
      <c r="A31" s="1116"/>
      <c r="B31" s="959" t="s">
        <v>869</v>
      </c>
      <c r="C31" s="960" t="s">
        <v>216</v>
      </c>
      <c r="D31" s="960">
        <v>0</v>
      </c>
      <c r="E31" s="960">
        <v>0</v>
      </c>
      <c r="F31" s="960">
        <v>0</v>
      </c>
      <c r="G31" s="960">
        <v>0</v>
      </c>
      <c r="H31" s="1117"/>
      <c r="I31" s="13"/>
      <c r="J31" s="9"/>
      <c r="K31" s="9"/>
      <c r="L31" s="9"/>
      <c r="M31" s="9"/>
    </row>
    <row r="32" spans="1:13" s="28" customFormat="1" ht="14">
      <c r="A32" s="1116"/>
      <c r="B32" s="959" t="s">
        <v>870</v>
      </c>
      <c r="C32" s="960" t="s">
        <v>216</v>
      </c>
      <c r="D32" s="960">
        <v>0</v>
      </c>
      <c r="E32" s="960">
        <v>0</v>
      </c>
      <c r="F32" s="960">
        <v>0</v>
      </c>
      <c r="G32" s="960">
        <v>0</v>
      </c>
      <c r="H32" s="1117"/>
      <c r="I32" s="13"/>
      <c r="J32" s="9"/>
      <c r="K32" s="9"/>
      <c r="L32" s="9"/>
      <c r="M32" s="9"/>
    </row>
    <row r="33" spans="1:13" s="28" customFormat="1" ht="14">
      <c r="A33" s="1116" t="s">
        <v>562</v>
      </c>
      <c r="B33" s="959" t="s">
        <v>871</v>
      </c>
      <c r="C33" s="960" t="s">
        <v>216</v>
      </c>
      <c r="D33" s="965">
        <f>D34+D37</f>
        <v>0</v>
      </c>
      <c r="E33" s="965">
        <f>E34+E37</f>
        <v>0</v>
      </c>
      <c r="F33" s="965">
        <f>F34+F37</f>
        <v>0</v>
      </c>
      <c r="G33" s="965">
        <f>G34+G37</f>
        <v>0</v>
      </c>
      <c r="H33" s="1126"/>
      <c r="I33" s="13"/>
      <c r="J33" s="9"/>
      <c r="K33" s="9"/>
      <c r="L33" s="9"/>
      <c r="M33" s="9"/>
    </row>
    <row r="34" spans="1:13" s="28" customFormat="1" ht="14">
      <c r="A34" s="1114" t="s">
        <v>39</v>
      </c>
      <c r="B34" s="1047" t="s">
        <v>561</v>
      </c>
      <c r="C34" s="960" t="s">
        <v>216</v>
      </c>
      <c r="D34" s="960">
        <f t="shared" ref="D34:G38" si="2">D35+D36</f>
        <v>0</v>
      </c>
      <c r="E34" s="960">
        <f t="shared" si="2"/>
        <v>0</v>
      </c>
      <c r="F34" s="960">
        <f t="shared" si="2"/>
        <v>0</v>
      </c>
      <c r="G34" s="960">
        <f t="shared" si="2"/>
        <v>0</v>
      </c>
      <c r="H34" s="1127"/>
      <c r="I34" s="13"/>
      <c r="J34" s="9"/>
      <c r="K34" s="9"/>
      <c r="L34" s="9"/>
      <c r="M34" s="9"/>
    </row>
    <row r="35" spans="1:13" s="28" customFormat="1" ht="28">
      <c r="A35" s="1116" t="s">
        <v>122</v>
      </c>
      <c r="B35" s="959" t="s">
        <v>868</v>
      </c>
      <c r="C35" s="960" t="s">
        <v>216</v>
      </c>
      <c r="D35" s="960">
        <f t="shared" si="2"/>
        <v>0</v>
      </c>
      <c r="E35" s="960">
        <f t="shared" si="2"/>
        <v>0</v>
      </c>
      <c r="F35" s="960">
        <f t="shared" si="2"/>
        <v>0</v>
      </c>
      <c r="G35" s="960">
        <f t="shared" si="2"/>
        <v>0</v>
      </c>
      <c r="H35" s="1127"/>
      <c r="I35" s="13"/>
      <c r="J35" s="9"/>
      <c r="K35" s="9"/>
      <c r="L35" s="9"/>
      <c r="M35" s="9"/>
    </row>
    <row r="36" spans="1:13" s="28" customFormat="1" ht="14">
      <c r="A36" s="1116"/>
      <c r="B36" s="959" t="s">
        <v>869</v>
      </c>
      <c r="C36" s="960" t="s">
        <v>216</v>
      </c>
      <c r="D36" s="960">
        <f t="shared" si="2"/>
        <v>0</v>
      </c>
      <c r="E36" s="960">
        <f t="shared" si="2"/>
        <v>0</v>
      </c>
      <c r="F36" s="960">
        <f t="shared" si="2"/>
        <v>0</v>
      </c>
      <c r="G36" s="960">
        <f t="shared" si="2"/>
        <v>0</v>
      </c>
      <c r="H36" s="1127"/>
      <c r="I36" s="13"/>
      <c r="J36" s="9"/>
      <c r="K36" s="9"/>
      <c r="L36" s="9"/>
      <c r="M36" s="9"/>
    </row>
    <row r="37" spans="1:13" s="28" customFormat="1" ht="14">
      <c r="A37" s="1116"/>
      <c r="B37" s="959" t="s">
        <v>870</v>
      </c>
      <c r="C37" s="960" t="s">
        <v>216</v>
      </c>
      <c r="D37" s="960">
        <v>0</v>
      </c>
      <c r="E37" s="960">
        <v>0</v>
      </c>
      <c r="F37" s="960">
        <v>0</v>
      </c>
      <c r="G37" s="960">
        <v>0</v>
      </c>
      <c r="H37" s="1127"/>
      <c r="I37" s="13"/>
      <c r="J37" s="9"/>
      <c r="K37" s="9"/>
      <c r="L37" s="9"/>
      <c r="M37" s="9"/>
    </row>
    <row r="38" spans="1:13" s="28" customFormat="1" ht="14">
      <c r="A38" s="1116" t="s">
        <v>562</v>
      </c>
      <c r="B38" s="959" t="s">
        <v>871</v>
      </c>
      <c r="C38" s="960" t="s">
        <v>217</v>
      </c>
      <c r="D38" s="960">
        <f t="shared" si="2"/>
        <v>0</v>
      </c>
      <c r="E38" s="960">
        <f t="shared" si="2"/>
        <v>0</v>
      </c>
      <c r="F38" s="960">
        <f t="shared" si="2"/>
        <v>0</v>
      </c>
      <c r="G38" s="960">
        <f t="shared" si="2"/>
        <v>0</v>
      </c>
      <c r="H38" s="1117"/>
      <c r="I38" s="13"/>
      <c r="J38" s="9"/>
      <c r="K38" s="9"/>
      <c r="L38" s="9"/>
      <c r="M38" s="9"/>
    </row>
    <row r="39" spans="1:13" s="28" customFormat="1" ht="14">
      <c r="A39" s="1114" t="s">
        <v>563</v>
      </c>
      <c r="B39" s="1047" t="s">
        <v>213</v>
      </c>
      <c r="C39" s="960"/>
      <c r="D39" s="960"/>
      <c r="E39" s="960"/>
      <c r="F39" s="960"/>
      <c r="G39" s="960"/>
      <c r="H39" s="1117"/>
      <c r="I39" s="13"/>
      <c r="J39" s="9"/>
      <c r="K39" s="9"/>
      <c r="L39" s="9"/>
      <c r="M39" s="9"/>
    </row>
    <row r="40" spans="1:13" s="28" customFormat="1" ht="28">
      <c r="A40" s="1116"/>
      <c r="B40" s="959" t="s">
        <v>744</v>
      </c>
      <c r="C40" s="960"/>
      <c r="D40" s="960">
        <v>0</v>
      </c>
      <c r="E40" s="960">
        <v>0</v>
      </c>
      <c r="F40" s="960">
        <v>0</v>
      </c>
      <c r="G40" s="960">
        <v>0</v>
      </c>
      <c r="H40" s="1117"/>
      <c r="I40" s="13"/>
      <c r="J40" s="9"/>
      <c r="K40" s="9"/>
      <c r="L40" s="9"/>
      <c r="M40" s="9"/>
    </row>
    <row r="41" spans="1:13" s="4" customFormat="1" ht="14">
      <c r="A41" s="1114" t="s">
        <v>18</v>
      </c>
      <c r="B41" s="1047" t="s">
        <v>214</v>
      </c>
      <c r="C41" s="960"/>
      <c r="D41" s="965">
        <f>D42+D50+D57</f>
        <v>8200</v>
      </c>
      <c r="E41" s="965">
        <f>E42+E50+E57</f>
        <v>9178</v>
      </c>
      <c r="F41" s="965">
        <f>F42+F50+F57</f>
        <v>0</v>
      </c>
      <c r="G41" s="965">
        <f>G42+G50+G57</f>
        <v>17378</v>
      </c>
      <c r="H41" s="1117"/>
      <c r="I41" s="13"/>
      <c r="J41" s="9"/>
      <c r="K41" s="9"/>
      <c r="L41" s="9"/>
      <c r="M41" s="9"/>
    </row>
    <row r="42" spans="1:13" s="4" customFormat="1" ht="27.75" customHeight="1">
      <c r="A42" s="1128" t="s">
        <v>6</v>
      </c>
      <c r="B42" s="1048" t="s">
        <v>745</v>
      </c>
      <c r="C42" s="960" t="s">
        <v>65</v>
      </c>
      <c r="D42" s="965">
        <f>D43+D49</f>
        <v>8200</v>
      </c>
      <c r="E42" s="965">
        <f>E43+E49</f>
        <v>9178</v>
      </c>
      <c r="F42" s="965">
        <f>F43+F49</f>
        <v>0</v>
      </c>
      <c r="G42" s="965">
        <f>G43+G49</f>
        <v>17378</v>
      </c>
      <c r="H42" s="1117"/>
      <c r="I42" s="13"/>
      <c r="J42" s="9"/>
      <c r="K42" s="9"/>
      <c r="L42" s="9"/>
      <c r="M42" s="9"/>
    </row>
    <row r="43" spans="1:13" s="4" customFormat="1" ht="14">
      <c r="A43" s="1129" t="s">
        <v>122</v>
      </c>
      <c r="B43" s="959" t="s">
        <v>867</v>
      </c>
      <c r="C43" s="960" t="s">
        <v>65</v>
      </c>
      <c r="D43" s="965">
        <f>SUM(D44:D48)</f>
        <v>7500</v>
      </c>
      <c r="E43" s="965">
        <f>SUM(E44:E48)</f>
        <v>8378</v>
      </c>
      <c r="F43" s="965">
        <f>SUM(F44:F48)</f>
        <v>0</v>
      </c>
      <c r="G43" s="965">
        <f>SUM(G44:G48)</f>
        <v>15878</v>
      </c>
      <c r="H43" s="1117"/>
      <c r="I43" s="13"/>
      <c r="J43" s="9"/>
      <c r="K43" s="9"/>
      <c r="L43" s="9"/>
      <c r="M43" s="9"/>
    </row>
    <row r="44" spans="1:13" s="4" customFormat="1" ht="14">
      <c r="A44" s="1129"/>
      <c r="B44" s="959" t="s">
        <v>147</v>
      </c>
      <c r="C44" s="960" t="s">
        <v>65</v>
      </c>
      <c r="D44" s="960">
        <v>1584</v>
      </c>
      <c r="E44" s="960">
        <v>588</v>
      </c>
      <c r="F44" s="963">
        <v>0</v>
      </c>
      <c r="G44" s="960">
        <f>SUM(D44:F44)</f>
        <v>2172</v>
      </c>
      <c r="H44" s="1117"/>
      <c r="I44" s="13"/>
      <c r="J44" s="9"/>
      <c r="K44" s="9"/>
      <c r="L44" s="9"/>
      <c r="M44" s="9"/>
    </row>
    <row r="45" spans="1:13" s="4" customFormat="1" ht="14">
      <c r="A45" s="1129"/>
      <c r="B45" s="959" t="s">
        <v>559</v>
      </c>
      <c r="C45" s="960" t="s">
        <v>65</v>
      </c>
      <c r="D45" s="960">
        <v>1475</v>
      </c>
      <c r="E45" s="960">
        <v>946</v>
      </c>
      <c r="F45" s="963">
        <v>0</v>
      </c>
      <c r="G45" s="960">
        <f>SUM(D45:F45)</f>
        <v>2421</v>
      </c>
      <c r="H45" s="1117"/>
      <c r="I45" s="13"/>
      <c r="J45" s="9"/>
      <c r="K45" s="9"/>
      <c r="L45" s="9"/>
      <c r="M45" s="9"/>
    </row>
    <row r="46" spans="1:13" s="4" customFormat="1" ht="14">
      <c r="A46" s="1129"/>
      <c r="B46" s="959" t="s">
        <v>740</v>
      </c>
      <c r="C46" s="960" t="s">
        <v>65</v>
      </c>
      <c r="D46" s="960">
        <v>1812</v>
      </c>
      <c r="E46" s="960">
        <v>1725</v>
      </c>
      <c r="F46" s="963">
        <v>0</v>
      </c>
      <c r="G46" s="960">
        <f>SUM(D46:F46)</f>
        <v>3537</v>
      </c>
      <c r="H46" s="1117"/>
      <c r="I46" s="13"/>
      <c r="J46" s="9"/>
      <c r="K46" s="9"/>
      <c r="L46" s="9"/>
      <c r="M46" s="9"/>
    </row>
    <row r="47" spans="1:13" s="4" customFormat="1" ht="19" customHeight="1">
      <c r="A47" s="1129"/>
      <c r="B47" s="959" t="s">
        <v>854</v>
      </c>
      <c r="C47" s="960" t="s">
        <v>65</v>
      </c>
      <c r="D47" s="967">
        <v>1130</v>
      </c>
      <c r="E47" s="967">
        <v>3157</v>
      </c>
      <c r="F47" s="967">
        <v>0</v>
      </c>
      <c r="G47" s="960">
        <f>SUM(D47:F47)</f>
        <v>4287</v>
      </c>
      <c r="H47" s="1117"/>
      <c r="I47" s="13"/>
      <c r="J47" s="9"/>
      <c r="K47" s="9"/>
      <c r="L47" s="9"/>
      <c r="M47" s="9"/>
    </row>
    <row r="48" spans="1:13" s="4" customFormat="1" ht="18" customHeight="1">
      <c r="A48" s="1129"/>
      <c r="B48" s="959" t="s">
        <v>873</v>
      </c>
      <c r="C48" s="960" t="s">
        <v>65</v>
      </c>
      <c r="D48" s="967">
        <v>1499</v>
      </c>
      <c r="E48" s="967">
        <v>1962</v>
      </c>
      <c r="F48" s="967">
        <v>0</v>
      </c>
      <c r="G48" s="960">
        <f>SUM(D48:F48)</f>
        <v>3461</v>
      </c>
      <c r="H48" s="1117"/>
      <c r="I48" s="13"/>
      <c r="J48" s="9"/>
      <c r="K48" s="9"/>
      <c r="L48" s="9"/>
      <c r="M48" s="9"/>
    </row>
    <row r="49" spans="1:13" s="4" customFormat="1" ht="12.75" customHeight="1">
      <c r="A49" s="1116" t="s">
        <v>562</v>
      </c>
      <c r="B49" s="959" t="s">
        <v>857</v>
      </c>
      <c r="C49" s="960"/>
      <c r="D49" s="965">
        <v>700</v>
      </c>
      <c r="E49" s="965">
        <v>800</v>
      </c>
      <c r="F49" s="965">
        <v>0</v>
      </c>
      <c r="G49" s="965">
        <f>D49+E49+F49</f>
        <v>1500</v>
      </c>
      <c r="H49" s="1117"/>
      <c r="I49" s="13"/>
      <c r="J49" s="9"/>
      <c r="K49" s="9"/>
      <c r="L49" s="9"/>
      <c r="M49" s="9"/>
    </row>
    <row r="50" spans="1:13" s="4" customFormat="1" ht="14">
      <c r="A50" s="1114" t="s">
        <v>7</v>
      </c>
      <c r="B50" s="964" t="s">
        <v>83</v>
      </c>
      <c r="C50" s="960" t="s">
        <v>65</v>
      </c>
      <c r="D50" s="965">
        <f>D51+D56</f>
        <v>0</v>
      </c>
      <c r="E50" s="965">
        <f>SUM(E51:E55)</f>
        <v>0</v>
      </c>
      <c r="F50" s="965">
        <f t="shared" ref="F50:G50" si="3">SUM(F51:F55)</f>
        <v>0</v>
      </c>
      <c r="G50" s="965">
        <f t="shared" si="3"/>
        <v>0</v>
      </c>
      <c r="H50" s="1117"/>
      <c r="I50" s="13"/>
      <c r="J50" s="9"/>
      <c r="K50" s="9"/>
      <c r="L50" s="9"/>
      <c r="M50" s="9"/>
    </row>
    <row r="51" spans="1:13" s="4" customFormat="1" ht="14">
      <c r="A51" s="1116" t="s">
        <v>122</v>
      </c>
      <c r="B51" s="959" t="s">
        <v>867</v>
      </c>
      <c r="C51" s="960" t="s">
        <v>65</v>
      </c>
      <c r="D51" s="965">
        <f>SUM(D52:D55)</f>
        <v>0</v>
      </c>
      <c r="E51" s="965">
        <f>SUM(E52:E55)</f>
        <v>0</v>
      </c>
      <c r="F51" s="965">
        <f>SUM(F52:F55)</f>
        <v>0</v>
      </c>
      <c r="G51" s="965">
        <f>D51+E51+F51</f>
        <v>0</v>
      </c>
      <c r="H51" s="1117"/>
      <c r="I51" s="13"/>
      <c r="J51" s="9"/>
      <c r="K51" s="9"/>
      <c r="L51" s="9"/>
      <c r="M51" s="9"/>
    </row>
    <row r="52" spans="1:13" s="4" customFormat="1" ht="14">
      <c r="A52" s="1116"/>
      <c r="B52" s="959" t="s">
        <v>746</v>
      </c>
      <c r="C52" s="960" t="s">
        <v>65</v>
      </c>
      <c r="D52" s="960">
        <v>0</v>
      </c>
      <c r="E52" s="960">
        <v>0</v>
      </c>
      <c r="F52" s="960">
        <v>0</v>
      </c>
      <c r="G52" s="965">
        <f>D52+E52+F52</f>
        <v>0</v>
      </c>
      <c r="H52" s="1117"/>
      <c r="I52" s="13"/>
      <c r="J52" s="9"/>
      <c r="K52" s="9"/>
      <c r="L52" s="9"/>
      <c r="M52" s="9"/>
    </row>
    <row r="53" spans="1:13" s="4" customFormat="1" ht="14">
      <c r="A53" s="1116"/>
      <c r="B53" s="959" t="s">
        <v>147</v>
      </c>
      <c r="C53" s="960" t="s">
        <v>65</v>
      </c>
      <c r="D53" s="963">
        <v>0</v>
      </c>
      <c r="E53" s="963">
        <v>0</v>
      </c>
      <c r="F53" s="960">
        <v>0</v>
      </c>
      <c r="G53" s="965">
        <v>0</v>
      </c>
      <c r="H53" s="1117"/>
      <c r="I53" s="13"/>
      <c r="J53" s="9"/>
      <c r="K53" s="9"/>
      <c r="L53" s="9"/>
      <c r="M53" s="9"/>
    </row>
    <row r="54" spans="1:13" s="4" customFormat="1" ht="14">
      <c r="A54" s="1116"/>
      <c r="B54" s="959" t="s">
        <v>559</v>
      </c>
      <c r="C54" s="960" t="s">
        <v>65</v>
      </c>
      <c r="D54" s="963">
        <v>0</v>
      </c>
      <c r="E54" s="963">
        <v>0</v>
      </c>
      <c r="F54" s="960">
        <v>0</v>
      </c>
      <c r="G54" s="965">
        <v>0</v>
      </c>
      <c r="H54" s="1117"/>
      <c r="I54" s="13"/>
      <c r="J54" s="9"/>
      <c r="K54" s="9"/>
      <c r="L54" s="9"/>
      <c r="M54" s="9"/>
    </row>
    <row r="55" spans="1:13" s="4" customFormat="1" ht="14">
      <c r="A55" s="1116"/>
      <c r="B55" s="959" t="s">
        <v>740</v>
      </c>
      <c r="C55" s="960" t="s">
        <v>65</v>
      </c>
      <c r="D55" s="963">
        <v>0</v>
      </c>
      <c r="E55" s="963">
        <v>0</v>
      </c>
      <c r="F55" s="960">
        <v>0</v>
      </c>
      <c r="G55" s="968">
        <v>0</v>
      </c>
      <c r="H55" s="1117"/>
      <c r="I55" s="13"/>
      <c r="J55" s="9"/>
      <c r="K55" s="9"/>
      <c r="L55" s="9"/>
      <c r="M55" s="9"/>
    </row>
    <row r="56" spans="1:13" s="4" customFormat="1" ht="14">
      <c r="A56" s="1116" t="s">
        <v>562</v>
      </c>
      <c r="B56" s="959" t="s">
        <v>742</v>
      </c>
      <c r="C56" s="960" t="s">
        <v>218</v>
      </c>
      <c r="D56" s="960">
        <v>0</v>
      </c>
      <c r="E56" s="960">
        <f>SUM(E57:E57)</f>
        <v>0</v>
      </c>
      <c r="F56" s="960">
        <f>SUM(F57:F57)</f>
        <v>0</v>
      </c>
      <c r="G56" s="960">
        <f>D56+E56+F56</f>
        <v>0</v>
      </c>
      <c r="H56" s="1117"/>
      <c r="I56" s="13"/>
      <c r="J56" s="9"/>
      <c r="K56" s="9"/>
      <c r="L56" s="9"/>
      <c r="M56" s="9"/>
    </row>
    <row r="57" spans="1:13" s="4" customFormat="1" ht="14">
      <c r="A57" s="1114" t="s">
        <v>24</v>
      </c>
      <c r="B57" s="1047" t="s">
        <v>52</v>
      </c>
      <c r="C57" s="960"/>
      <c r="D57" s="965">
        <v>0</v>
      </c>
      <c r="E57" s="965">
        <v>0</v>
      </c>
      <c r="F57" s="965">
        <v>0</v>
      </c>
      <c r="G57" s="965">
        <v>0</v>
      </c>
      <c r="H57" s="1117"/>
      <c r="I57" s="13"/>
      <c r="J57" s="9"/>
      <c r="K57" s="9"/>
      <c r="L57" s="9"/>
      <c r="M57" s="9"/>
    </row>
    <row r="58" spans="1:13" ht="43" thickBot="1">
      <c r="A58" s="1130"/>
      <c r="B58" s="1120" t="s">
        <v>872</v>
      </c>
      <c r="C58" s="1121"/>
      <c r="D58" s="1131">
        <f>D41+D7</f>
        <v>9054</v>
      </c>
      <c r="E58" s="1131">
        <f>E41+E7</f>
        <v>10102</v>
      </c>
      <c r="F58" s="1131">
        <f>F41+F7</f>
        <v>703</v>
      </c>
      <c r="G58" s="1131">
        <f>G41+G7</f>
        <v>19859</v>
      </c>
      <c r="H58" s="1124"/>
      <c r="I58" s="11"/>
      <c r="J58" s="6"/>
      <c r="K58" s="6"/>
      <c r="L58" s="6"/>
      <c r="M58" s="6"/>
    </row>
    <row r="59" spans="1:13" ht="14" thickTop="1">
      <c r="A59" s="1039"/>
      <c r="B59" s="10"/>
      <c r="C59" s="10"/>
      <c r="D59" s="10"/>
      <c r="E59" s="10"/>
      <c r="F59" s="10"/>
      <c r="G59" s="11"/>
      <c r="H59" s="11"/>
      <c r="I59" s="11"/>
      <c r="J59" s="6"/>
      <c r="K59" s="6"/>
      <c r="L59" s="6"/>
      <c r="M59" s="6"/>
    </row>
    <row r="60" spans="1:13">
      <c r="A60" s="1039"/>
      <c r="B60" s="10"/>
      <c r="C60" s="10"/>
      <c r="D60" s="10"/>
      <c r="E60" s="10"/>
      <c r="F60" s="10"/>
      <c r="G60" s="11"/>
      <c r="H60" s="11"/>
      <c r="I60" s="11"/>
      <c r="J60" s="6"/>
      <c r="K60" s="6"/>
      <c r="L60" s="6"/>
      <c r="M60" s="6"/>
    </row>
    <row r="61" spans="1:13">
      <c r="A61" s="1039"/>
      <c r="B61" s="10"/>
      <c r="C61" s="10"/>
      <c r="D61" s="10"/>
      <c r="E61" s="10"/>
      <c r="F61" s="10"/>
      <c r="G61" s="11"/>
      <c r="H61" s="11"/>
      <c r="I61" s="11"/>
      <c r="J61" s="6"/>
      <c r="K61" s="6"/>
      <c r="L61" s="6"/>
      <c r="M61" s="6"/>
    </row>
    <row r="62" spans="1:13">
      <c r="A62" s="1039"/>
      <c r="B62" s="10"/>
      <c r="C62" s="10"/>
      <c r="D62" s="10"/>
      <c r="E62" s="10"/>
      <c r="F62" s="10"/>
      <c r="G62" s="11"/>
      <c r="H62" s="11"/>
      <c r="I62" s="11"/>
      <c r="J62" s="6"/>
      <c r="K62" s="6"/>
      <c r="L62" s="6"/>
      <c r="M62" s="6"/>
    </row>
    <row r="63" spans="1:13">
      <c r="A63" s="1039"/>
      <c r="B63" s="10"/>
      <c r="C63" s="10"/>
      <c r="D63" s="10"/>
      <c r="E63" s="10"/>
      <c r="F63" s="10"/>
      <c r="G63" s="11"/>
      <c r="H63" s="11"/>
      <c r="I63" s="11"/>
      <c r="J63" s="6"/>
      <c r="K63" s="6"/>
      <c r="L63" s="6"/>
      <c r="M63" s="6"/>
    </row>
    <row r="64" spans="1:13">
      <c r="A64" s="1039"/>
      <c r="B64" s="10"/>
      <c r="C64" s="10"/>
      <c r="D64" s="10"/>
      <c r="E64" s="10"/>
      <c r="F64" s="10"/>
      <c r="G64" s="11"/>
      <c r="H64" s="11"/>
      <c r="I64" s="11"/>
      <c r="J64" s="6"/>
      <c r="K64" s="6"/>
      <c r="L64" s="6"/>
      <c r="M64" s="6"/>
    </row>
    <row r="65" spans="1:13">
      <c r="A65" s="1039"/>
      <c r="B65" s="10"/>
      <c r="C65" s="10"/>
      <c r="D65" s="10"/>
      <c r="E65" s="10"/>
      <c r="F65" s="10"/>
      <c r="G65" s="11"/>
      <c r="H65" s="11"/>
      <c r="I65" s="11"/>
      <c r="J65" s="6"/>
      <c r="K65" s="6"/>
      <c r="L65" s="6"/>
      <c r="M65" s="6"/>
    </row>
    <row r="66" spans="1:13">
      <c r="A66" s="1039"/>
      <c r="B66" s="10"/>
      <c r="C66" s="10"/>
      <c r="D66" s="10"/>
      <c r="E66" s="10"/>
      <c r="F66" s="10"/>
      <c r="G66" s="11"/>
      <c r="H66" s="11"/>
      <c r="I66" s="11"/>
      <c r="J66" s="6"/>
      <c r="K66" s="6"/>
      <c r="L66" s="6"/>
      <c r="M66" s="6"/>
    </row>
    <row r="67" spans="1:13">
      <c r="A67" s="1039"/>
      <c r="B67" s="10"/>
      <c r="C67" s="10"/>
      <c r="D67" s="10"/>
      <c r="E67" s="10"/>
      <c r="F67" s="10"/>
      <c r="G67" s="11"/>
      <c r="H67" s="11"/>
      <c r="I67" s="11"/>
      <c r="J67" s="6"/>
      <c r="K67" s="6"/>
      <c r="L67" s="6"/>
      <c r="M67" s="6"/>
    </row>
    <row r="68" spans="1:13">
      <c r="A68" s="1039"/>
      <c r="B68" s="10"/>
      <c r="C68" s="10"/>
      <c r="D68" s="10"/>
      <c r="E68" s="10"/>
      <c r="F68" s="10"/>
      <c r="G68" s="11"/>
      <c r="H68" s="11"/>
      <c r="I68" s="11"/>
      <c r="J68" s="6"/>
      <c r="K68" s="6"/>
      <c r="L68" s="6"/>
      <c r="M68" s="6"/>
    </row>
    <row r="69" spans="1:13">
      <c r="A69" s="1039"/>
      <c r="B69" s="10"/>
      <c r="C69" s="10"/>
      <c r="D69" s="10"/>
      <c r="E69" s="10"/>
      <c r="F69" s="10"/>
      <c r="G69" s="11"/>
      <c r="H69" s="11"/>
      <c r="I69" s="11"/>
      <c r="J69" s="6"/>
      <c r="K69" s="6"/>
      <c r="L69" s="6"/>
      <c r="M69" s="6"/>
    </row>
    <row r="70" spans="1:13">
      <c r="A70" s="1039"/>
      <c r="B70" s="10"/>
      <c r="C70" s="10"/>
      <c r="D70" s="10"/>
      <c r="E70" s="10"/>
      <c r="F70" s="10"/>
      <c r="G70" s="11"/>
      <c r="H70" s="11"/>
      <c r="I70" s="11"/>
      <c r="J70" s="6"/>
      <c r="K70" s="6"/>
      <c r="L70" s="6"/>
      <c r="M70" s="6"/>
    </row>
    <row r="71" spans="1:13">
      <c r="A71" s="1039"/>
      <c r="B71" s="10"/>
      <c r="C71" s="10"/>
      <c r="D71" s="10"/>
      <c r="E71" s="10"/>
      <c r="F71" s="10"/>
      <c r="G71" s="11"/>
      <c r="H71" s="11"/>
      <c r="I71" s="11"/>
      <c r="J71" s="6"/>
      <c r="K71" s="6"/>
      <c r="L71" s="6"/>
      <c r="M71" s="6"/>
    </row>
    <row r="72" spans="1:13">
      <c r="A72" s="1039"/>
      <c r="B72" s="10"/>
      <c r="C72" s="10"/>
      <c r="D72" s="10"/>
      <c r="E72" s="10"/>
      <c r="F72" s="10"/>
      <c r="G72" s="11"/>
      <c r="H72" s="11"/>
      <c r="I72" s="11"/>
      <c r="J72" s="6"/>
      <c r="K72" s="6"/>
      <c r="L72" s="6"/>
      <c r="M72" s="6"/>
    </row>
    <row r="73" spans="1:13">
      <c r="A73" s="1039"/>
      <c r="B73" s="10"/>
      <c r="C73" s="10"/>
      <c r="D73" s="10"/>
      <c r="E73" s="10"/>
      <c r="F73" s="10"/>
      <c r="G73" s="11"/>
      <c r="H73" s="11"/>
      <c r="I73" s="11"/>
      <c r="J73" s="6"/>
      <c r="K73" s="6"/>
      <c r="L73" s="6"/>
      <c r="M73" s="6"/>
    </row>
    <row r="74" spans="1:13">
      <c r="A74" s="1039"/>
      <c r="B74" s="10"/>
      <c r="C74" s="10"/>
      <c r="D74" s="10"/>
      <c r="E74" s="10"/>
      <c r="F74" s="10"/>
      <c r="G74" s="11"/>
      <c r="H74" s="11"/>
      <c r="I74" s="11"/>
      <c r="J74" s="6"/>
      <c r="K74" s="6"/>
      <c r="L74" s="6"/>
      <c r="M74" s="6"/>
    </row>
    <row r="75" spans="1:13">
      <c r="A75" s="1039"/>
      <c r="B75" s="10"/>
      <c r="C75" s="10"/>
      <c r="D75" s="10"/>
      <c r="E75" s="10"/>
      <c r="F75" s="10"/>
      <c r="G75" s="11"/>
      <c r="H75" s="11"/>
      <c r="I75" s="11"/>
      <c r="J75" s="6"/>
      <c r="K75" s="6"/>
      <c r="L75" s="6"/>
      <c r="M75" s="6"/>
    </row>
    <row r="76" spans="1:13">
      <c r="A76" s="1039"/>
      <c r="B76" s="10"/>
      <c r="C76" s="10"/>
      <c r="D76" s="10"/>
      <c r="E76" s="10"/>
      <c r="F76" s="10"/>
      <c r="G76" s="11"/>
      <c r="H76" s="11"/>
      <c r="I76" s="11"/>
      <c r="J76" s="6"/>
      <c r="K76" s="6"/>
      <c r="L76" s="6"/>
      <c r="M76" s="6"/>
    </row>
    <row r="77" spans="1:13">
      <c r="A77" s="5"/>
      <c r="B77" s="7"/>
      <c r="C77" s="7"/>
      <c r="D77" s="7"/>
      <c r="E77" s="7"/>
      <c r="F77" s="7"/>
      <c r="G77" s="6"/>
      <c r="H77" s="6"/>
      <c r="I77" s="6"/>
      <c r="J77" s="6"/>
      <c r="K77" s="6"/>
      <c r="L77" s="6"/>
      <c r="M77" s="6"/>
    </row>
  </sheetData>
  <mergeCells count="4">
    <mergeCell ref="A1:B1"/>
    <mergeCell ref="A2:B2"/>
    <mergeCell ref="A3:I3"/>
    <mergeCell ref="F4:H4"/>
  </mergeCells>
  <pageMargins left="0.75" right="0.27" top="0.6" bottom="0.6" header="0.42" footer="0.51"/>
  <pageSetup paperSize="9" scale="94" orientation="portrait" r:id="rId1"/>
  <colBreaks count="1" manualBreakCount="1">
    <brk id="8" max="59"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8"/>
  <sheetViews>
    <sheetView view="pageBreakPreview" zoomScale="120" zoomScaleNormal="110" zoomScaleSheetLayoutView="120" workbookViewId="0">
      <pane xSplit="2" ySplit="7" topLeftCell="C291" activePane="bottomRight" state="frozen"/>
      <selection pane="topRight" activeCell="C1" sqref="C1"/>
      <selection pane="bottomLeft" activeCell="A8" sqref="A8"/>
      <selection pane="bottomRight" activeCell="F295" sqref="F295"/>
    </sheetView>
  </sheetViews>
  <sheetFormatPr baseColWidth="10" defaultColWidth="9.1640625" defaultRowHeight="13"/>
  <cols>
    <col min="1" max="1" width="5.5" style="617" customWidth="1"/>
    <col min="2" max="2" width="41.1640625" style="617" customWidth="1"/>
    <col min="3" max="3" width="7" style="618" customWidth="1"/>
    <col min="4" max="4" width="6.5" style="618" customWidth="1"/>
    <col min="5" max="5" width="6" style="618" customWidth="1"/>
    <col min="6" max="6" width="7.5" style="131" customWidth="1"/>
    <col min="7" max="7" width="6.83203125" style="618" customWidth="1"/>
    <col min="8" max="8" width="11.1640625" style="618" customWidth="1"/>
    <col min="9" max="10" width="8.33203125" style="618" customWidth="1"/>
    <col min="11" max="11" width="6.5" style="618" customWidth="1"/>
    <col min="12" max="12" width="7.6640625" style="618" customWidth="1"/>
    <col min="13" max="13" width="9.5" style="618" customWidth="1"/>
    <col min="14" max="14" width="11" style="618" customWidth="1"/>
    <col min="15" max="15" width="6.6640625" style="618" customWidth="1"/>
    <col min="16" max="16" width="9.6640625" style="618" customWidth="1"/>
    <col min="17" max="17" width="17.33203125" style="617" bestFit="1" customWidth="1"/>
    <col min="18" max="16384" width="9.1640625" style="611"/>
  </cols>
  <sheetData>
    <row r="1" spans="1:17" ht="14.25" customHeight="1">
      <c r="A1" s="1861" t="s">
        <v>3</v>
      </c>
      <c r="B1" s="1861"/>
      <c r="C1" s="1861"/>
      <c r="D1" s="1037"/>
      <c r="E1" s="1037"/>
      <c r="F1" s="1037"/>
      <c r="G1" s="1037"/>
      <c r="H1" s="131"/>
      <c r="I1" s="1842"/>
      <c r="J1" s="1842"/>
      <c r="K1" s="1842"/>
      <c r="L1" s="1842"/>
      <c r="M1" s="1842"/>
      <c r="N1" s="1842"/>
      <c r="O1" s="1035"/>
      <c r="P1" s="1035"/>
      <c r="Q1" s="1035" t="s">
        <v>29</v>
      </c>
    </row>
    <row r="2" spans="1:17">
      <c r="A2" s="1862" t="s">
        <v>521</v>
      </c>
      <c r="B2" s="1862"/>
      <c r="C2" s="1862"/>
      <c r="D2" s="1038"/>
      <c r="E2" s="1038"/>
      <c r="F2" s="1037"/>
      <c r="G2" s="1038"/>
      <c r="H2" s="131"/>
      <c r="I2" s="1842"/>
      <c r="J2" s="1842"/>
      <c r="K2" s="1842"/>
      <c r="L2" s="1842"/>
      <c r="M2" s="1842"/>
      <c r="N2" s="1842"/>
      <c r="O2" s="1035"/>
      <c r="P2" s="1035"/>
      <c r="Q2" s="1035"/>
    </row>
    <row r="3" spans="1:17" ht="30" customHeight="1">
      <c r="A3" s="1863" t="s">
        <v>937</v>
      </c>
      <c r="B3" s="1863"/>
      <c r="C3" s="1863"/>
      <c r="D3" s="1863"/>
      <c r="E3" s="1863"/>
      <c r="F3" s="1863"/>
      <c r="G3" s="1863"/>
      <c r="H3" s="1863"/>
      <c r="I3" s="1863"/>
      <c r="J3" s="1863"/>
      <c r="K3" s="1863"/>
      <c r="L3" s="1863"/>
      <c r="M3" s="1863"/>
      <c r="N3" s="1863"/>
      <c r="O3" s="1863"/>
      <c r="P3" s="1863"/>
      <c r="Q3" s="1863"/>
    </row>
    <row r="4" spans="1:17" ht="14" thickBot="1">
      <c r="A4" s="52"/>
      <c r="B4" s="52"/>
      <c r="C4" s="53"/>
      <c r="D4" s="53"/>
      <c r="E4" s="53"/>
      <c r="F4" s="53"/>
      <c r="G4" s="53"/>
      <c r="H4" s="53"/>
      <c r="I4" s="53"/>
      <c r="J4" s="53"/>
      <c r="K4" s="53"/>
      <c r="L4" s="53"/>
      <c r="M4" s="53"/>
      <c r="N4" s="53" t="s">
        <v>19</v>
      </c>
      <c r="O4" s="53"/>
      <c r="P4" s="53"/>
      <c r="Q4" s="53"/>
    </row>
    <row r="5" spans="1:17" ht="96" customHeight="1" thickTop="1">
      <c r="A5" s="1864" t="s">
        <v>0</v>
      </c>
      <c r="B5" s="1849" t="s">
        <v>169</v>
      </c>
      <c r="C5" s="1849" t="s">
        <v>202</v>
      </c>
      <c r="D5" s="1849" t="s">
        <v>203</v>
      </c>
      <c r="E5" s="1849" t="s">
        <v>150</v>
      </c>
      <c r="F5" s="1849" t="s">
        <v>157</v>
      </c>
      <c r="G5" s="1849" t="s">
        <v>206</v>
      </c>
      <c r="H5" s="1859" t="s">
        <v>205</v>
      </c>
      <c r="I5" s="1849" t="s">
        <v>207</v>
      </c>
      <c r="J5" s="1849"/>
      <c r="K5" s="1849"/>
      <c r="L5" s="1849" t="s">
        <v>208</v>
      </c>
      <c r="M5" s="1849" t="s">
        <v>209</v>
      </c>
      <c r="N5" s="1849" t="s">
        <v>38</v>
      </c>
      <c r="O5" s="1849" t="s">
        <v>84</v>
      </c>
      <c r="P5" s="1849" t="s">
        <v>85</v>
      </c>
      <c r="Q5" s="1851" t="s">
        <v>2</v>
      </c>
    </row>
    <row r="6" spans="1:17" ht="70">
      <c r="A6" s="1865"/>
      <c r="B6" s="1850"/>
      <c r="C6" s="1850"/>
      <c r="D6" s="1850"/>
      <c r="E6" s="1850"/>
      <c r="F6" s="1850"/>
      <c r="G6" s="1850"/>
      <c r="H6" s="1860"/>
      <c r="I6" s="1132" t="s">
        <v>158</v>
      </c>
      <c r="J6" s="1132" t="s">
        <v>99</v>
      </c>
      <c r="K6" s="1132" t="s">
        <v>156</v>
      </c>
      <c r="L6" s="1850"/>
      <c r="M6" s="1850"/>
      <c r="N6" s="1850"/>
      <c r="O6" s="1850"/>
      <c r="P6" s="1850"/>
      <c r="Q6" s="1852"/>
    </row>
    <row r="7" spans="1:17" s="612" customFormat="1" ht="42.75" customHeight="1">
      <c r="A7" s="1133" t="s">
        <v>113</v>
      </c>
      <c r="B7" s="1134" t="s">
        <v>114</v>
      </c>
      <c r="C7" s="1134" t="s">
        <v>115</v>
      </c>
      <c r="D7" s="1135" t="s">
        <v>116</v>
      </c>
      <c r="E7" s="1135" t="s">
        <v>117</v>
      </c>
      <c r="F7" s="1136" t="s">
        <v>749</v>
      </c>
      <c r="G7" s="1135" t="s">
        <v>119</v>
      </c>
      <c r="H7" s="1135" t="s">
        <v>750</v>
      </c>
      <c r="I7" s="1135" t="s">
        <v>751</v>
      </c>
      <c r="J7" s="1135" t="s">
        <v>123</v>
      </c>
      <c r="K7" s="1135" t="s">
        <v>132</v>
      </c>
      <c r="L7" s="1135" t="s">
        <v>124</v>
      </c>
      <c r="M7" s="1135" t="s">
        <v>125</v>
      </c>
      <c r="N7" s="1135" t="s">
        <v>126</v>
      </c>
      <c r="O7" s="1135" t="s">
        <v>127</v>
      </c>
      <c r="P7" s="1135" t="s">
        <v>128</v>
      </c>
      <c r="Q7" s="1137" t="s">
        <v>204</v>
      </c>
    </row>
    <row r="8" spans="1:17" ht="25" customHeight="1">
      <c r="A8" s="1138" t="s">
        <v>5</v>
      </c>
      <c r="B8" s="1139" t="s">
        <v>292</v>
      </c>
      <c r="C8" s="1132"/>
      <c r="D8" s="1132"/>
      <c r="E8" s="1132"/>
      <c r="F8" s="1140"/>
      <c r="G8" s="1132"/>
      <c r="H8" s="1132"/>
      <c r="I8" s="1132"/>
      <c r="J8" s="1132"/>
      <c r="K8" s="1132"/>
      <c r="L8" s="1132"/>
      <c r="M8" s="1132"/>
      <c r="N8" s="1132"/>
      <c r="O8" s="1132"/>
      <c r="P8" s="1132"/>
      <c r="Q8" s="1141"/>
    </row>
    <row r="9" spans="1:17" ht="25" customHeight="1">
      <c r="A9" s="1138" t="s">
        <v>6</v>
      </c>
      <c r="B9" s="1142" t="s">
        <v>575</v>
      </c>
      <c r="C9" s="1132"/>
      <c r="D9" s="1132"/>
      <c r="E9" s="1132"/>
      <c r="F9" s="1140"/>
      <c r="G9" s="1132"/>
      <c r="H9" s="1132"/>
      <c r="I9" s="1132"/>
      <c r="J9" s="1132"/>
      <c r="K9" s="1132"/>
      <c r="L9" s="1132"/>
      <c r="M9" s="1132"/>
      <c r="N9" s="1132"/>
      <c r="O9" s="1132"/>
      <c r="P9" s="1132"/>
      <c r="Q9" s="1141"/>
    </row>
    <row r="10" spans="1:17" ht="25" customHeight="1">
      <c r="A10" s="1138">
        <v>1</v>
      </c>
      <c r="B10" s="1142" t="s">
        <v>4</v>
      </c>
      <c r="C10" s="1132"/>
      <c r="D10" s="1132"/>
      <c r="E10" s="1132"/>
      <c r="F10" s="1140"/>
      <c r="G10" s="1132"/>
      <c r="H10" s="1132"/>
      <c r="I10" s="1132"/>
      <c r="J10" s="1132"/>
      <c r="K10" s="1132"/>
      <c r="L10" s="1132"/>
      <c r="M10" s="1132"/>
      <c r="N10" s="1132"/>
      <c r="O10" s="1132"/>
      <c r="P10" s="1132"/>
      <c r="Q10" s="1141"/>
    </row>
    <row r="11" spans="1:17" s="613" customFormat="1" ht="25" customHeight="1">
      <c r="A11" s="1143" t="s">
        <v>145</v>
      </c>
      <c r="B11" s="1144" t="s">
        <v>159</v>
      </c>
      <c r="C11" s="958"/>
      <c r="D11" s="958"/>
      <c r="E11" s="958"/>
      <c r="F11" s="962"/>
      <c r="G11" s="958"/>
      <c r="H11" s="958"/>
      <c r="I11" s="1145"/>
      <c r="J11" s="1145"/>
      <c r="K11" s="1145"/>
      <c r="L11" s="1145"/>
      <c r="M11" s="1145"/>
      <c r="N11" s="1145"/>
      <c r="O11" s="1145"/>
      <c r="P11" s="1145"/>
      <c r="Q11" s="1146"/>
    </row>
    <row r="12" spans="1:17" s="613" customFormat="1" ht="25" customHeight="1">
      <c r="A12" s="1147" t="s">
        <v>224</v>
      </c>
      <c r="B12" s="1056" t="s">
        <v>874</v>
      </c>
      <c r="C12" s="965">
        <v>4</v>
      </c>
      <c r="D12" s="1148">
        <v>1</v>
      </c>
      <c r="E12" s="965">
        <v>2</v>
      </c>
      <c r="F12" s="1149">
        <f>I12+J12+K12</f>
        <v>132</v>
      </c>
      <c r="G12" s="960">
        <v>40</v>
      </c>
      <c r="H12" s="962">
        <f>C12*E12*G12*D12</f>
        <v>320</v>
      </c>
      <c r="I12" s="1150">
        <f>IF(G12&lt;70, C12*E12*16.5*1, C12*E12*16.5*1.3)</f>
        <v>132</v>
      </c>
      <c r="J12" s="1145"/>
      <c r="K12" s="1145"/>
      <c r="L12" s="1145"/>
      <c r="M12" s="1145"/>
      <c r="N12" s="1145"/>
      <c r="O12" s="1145"/>
      <c r="P12" s="1145"/>
      <c r="Q12" s="1146"/>
    </row>
    <row r="13" spans="1:17" s="613" customFormat="1" ht="25" customHeight="1">
      <c r="A13" s="1147" t="s">
        <v>225</v>
      </c>
      <c r="B13" s="1056" t="s">
        <v>875</v>
      </c>
      <c r="C13" s="965">
        <v>4</v>
      </c>
      <c r="D13" s="965">
        <v>1</v>
      </c>
      <c r="E13" s="965">
        <v>2</v>
      </c>
      <c r="F13" s="1149">
        <f>I13+J13+K13</f>
        <v>132</v>
      </c>
      <c r="G13" s="960">
        <v>40</v>
      </c>
      <c r="H13" s="962">
        <f t="shared" ref="H13:H55" si="0">C13*E13*G13*D13</f>
        <v>320</v>
      </c>
      <c r="I13" s="1150">
        <f t="shared" ref="I13:I41" si="1">IF(G13&lt;70, C13*E13*16.5*1, C13*E13*16.5*1.3)</f>
        <v>132</v>
      </c>
      <c r="J13" s="1145"/>
      <c r="K13" s="1145"/>
      <c r="L13" s="1145"/>
      <c r="M13" s="1145"/>
      <c r="N13" s="1145"/>
      <c r="O13" s="1145"/>
      <c r="P13" s="1145"/>
      <c r="Q13" s="1151" t="s">
        <v>682</v>
      </c>
    </row>
    <row r="14" spans="1:17" s="613" customFormat="1" ht="25" customHeight="1">
      <c r="A14" s="1147" t="s">
        <v>226</v>
      </c>
      <c r="B14" s="1152" t="s">
        <v>815</v>
      </c>
      <c r="C14" s="965">
        <v>2</v>
      </c>
      <c r="D14" s="965">
        <v>1</v>
      </c>
      <c r="E14" s="1153">
        <v>4</v>
      </c>
      <c r="F14" s="1149">
        <f t="shared" ref="F14:F43" si="2">I14+J14+K14</f>
        <v>171.6</v>
      </c>
      <c r="G14" s="960">
        <v>75</v>
      </c>
      <c r="H14" s="962">
        <f t="shared" si="0"/>
        <v>600</v>
      </c>
      <c r="I14" s="1150">
        <f t="shared" si="1"/>
        <v>171.6</v>
      </c>
      <c r="J14" s="1145"/>
      <c r="K14" s="1145"/>
      <c r="L14" s="1145"/>
      <c r="M14" s="1145"/>
      <c r="N14" s="1145"/>
      <c r="O14" s="1145"/>
      <c r="P14" s="1145"/>
      <c r="Q14" s="1146"/>
    </row>
    <row r="15" spans="1:17" s="613" customFormat="1" ht="25" customHeight="1">
      <c r="A15" s="1147" t="s">
        <v>227</v>
      </c>
      <c r="B15" s="1152" t="s">
        <v>816</v>
      </c>
      <c r="C15" s="965">
        <v>3</v>
      </c>
      <c r="D15" s="965">
        <v>1</v>
      </c>
      <c r="E15" s="965">
        <v>4</v>
      </c>
      <c r="F15" s="1149">
        <f t="shared" si="2"/>
        <v>257.40000000000003</v>
      </c>
      <c r="G15" s="960">
        <v>75</v>
      </c>
      <c r="H15" s="962">
        <f t="shared" si="0"/>
        <v>900</v>
      </c>
      <c r="I15" s="1150">
        <f t="shared" si="1"/>
        <v>257.40000000000003</v>
      </c>
      <c r="J15" s="1145"/>
      <c r="K15" s="1145"/>
      <c r="L15" s="1145"/>
      <c r="M15" s="1145"/>
      <c r="N15" s="1145"/>
      <c r="O15" s="1145"/>
      <c r="P15" s="1145"/>
      <c r="Q15" s="1146"/>
    </row>
    <row r="16" spans="1:17" s="613" customFormat="1" ht="25" customHeight="1">
      <c r="A16" s="1147" t="s">
        <v>228</v>
      </c>
      <c r="B16" s="1152" t="s">
        <v>249</v>
      </c>
      <c r="C16" s="965">
        <v>2</v>
      </c>
      <c r="D16" s="965">
        <v>1</v>
      </c>
      <c r="E16" s="965">
        <v>4</v>
      </c>
      <c r="F16" s="1149">
        <f t="shared" si="2"/>
        <v>171.6</v>
      </c>
      <c r="G16" s="960">
        <v>75</v>
      </c>
      <c r="H16" s="962">
        <f t="shared" si="0"/>
        <v>600</v>
      </c>
      <c r="I16" s="1150">
        <f t="shared" si="1"/>
        <v>171.6</v>
      </c>
      <c r="J16" s="1145"/>
      <c r="K16" s="1145"/>
      <c r="L16" s="1145"/>
      <c r="M16" s="1145"/>
      <c r="N16" s="1145"/>
      <c r="O16" s="1145"/>
      <c r="P16" s="1145"/>
      <c r="Q16" s="1146"/>
    </row>
    <row r="17" spans="1:17" s="613" customFormat="1" ht="25" customHeight="1">
      <c r="A17" s="1147" t="s">
        <v>229</v>
      </c>
      <c r="B17" s="1152" t="s">
        <v>817</v>
      </c>
      <c r="C17" s="965">
        <v>3</v>
      </c>
      <c r="D17" s="965">
        <v>1.3</v>
      </c>
      <c r="E17" s="965">
        <v>14</v>
      </c>
      <c r="F17" s="1149">
        <f t="shared" si="2"/>
        <v>693</v>
      </c>
      <c r="G17" s="960">
        <v>20</v>
      </c>
      <c r="H17" s="962">
        <f t="shared" si="0"/>
        <v>1092</v>
      </c>
      <c r="I17" s="1150">
        <f t="shared" si="1"/>
        <v>693</v>
      </c>
      <c r="J17" s="1145"/>
      <c r="K17" s="1145"/>
      <c r="L17" s="1145"/>
      <c r="M17" s="1145"/>
      <c r="N17" s="1145"/>
      <c r="O17" s="1145"/>
      <c r="P17" s="1145"/>
      <c r="Q17" s="1146"/>
    </row>
    <row r="18" spans="1:17" s="613" customFormat="1" ht="25" customHeight="1">
      <c r="A18" s="1147" t="s">
        <v>280</v>
      </c>
      <c r="B18" s="1056" t="s">
        <v>252</v>
      </c>
      <c r="C18" s="1148">
        <v>4</v>
      </c>
      <c r="D18" s="1148">
        <v>1.4</v>
      </c>
      <c r="E18" s="1148">
        <v>14</v>
      </c>
      <c r="F18" s="1149">
        <f t="shared" si="2"/>
        <v>924</v>
      </c>
      <c r="G18" s="968">
        <v>20</v>
      </c>
      <c r="H18" s="962">
        <f t="shared" si="0"/>
        <v>1568</v>
      </c>
      <c r="I18" s="1150">
        <f t="shared" si="1"/>
        <v>924</v>
      </c>
      <c r="J18" s="1145"/>
      <c r="K18" s="1145"/>
      <c r="L18" s="1145"/>
      <c r="M18" s="1145"/>
      <c r="N18" s="1145"/>
      <c r="O18" s="1145"/>
      <c r="P18" s="1145"/>
      <c r="Q18" s="1146"/>
    </row>
    <row r="19" spans="1:17" s="613" customFormat="1" ht="25" customHeight="1">
      <c r="A19" s="1147" t="s">
        <v>281</v>
      </c>
      <c r="B19" s="1154" t="s">
        <v>818</v>
      </c>
      <c r="C19" s="965">
        <v>2</v>
      </c>
      <c r="D19" s="965">
        <v>1</v>
      </c>
      <c r="E19" s="965">
        <v>2</v>
      </c>
      <c r="F19" s="1149">
        <f t="shared" si="2"/>
        <v>85.8</v>
      </c>
      <c r="G19" s="960">
        <v>70</v>
      </c>
      <c r="H19" s="962">
        <f t="shared" si="0"/>
        <v>280</v>
      </c>
      <c r="I19" s="1150">
        <f t="shared" si="1"/>
        <v>85.8</v>
      </c>
      <c r="J19" s="1145"/>
      <c r="K19" s="1145"/>
      <c r="L19" s="1145"/>
      <c r="M19" s="1145"/>
      <c r="N19" s="1145"/>
      <c r="O19" s="1145"/>
      <c r="P19" s="1145"/>
      <c r="Q19" s="1146"/>
    </row>
    <row r="20" spans="1:17" s="613" customFormat="1" ht="25" customHeight="1">
      <c r="A20" s="1147" t="s">
        <v>282</v>
      </c>
      <c r="B20" s="1155" t="s">
        <v>819</v>
      </c>
      <c r="C20" s="965">
        <v>4</v>
      </c>
      <c r="D20" s="965">
        <v>1</v>
      </c>
      <c r="E20" s="965">
        <v>2</v>
      </c>
      <c r="F20" s="1149">
        <f t="shared" si="2"/>
        <v>171.6</v>
      </c>
      <c r="G20" s="960">
        <v>70</v>
      </c>
      <c r="H20" s="962">
        <f t="shared" si="0"/>
        <v>560</v>
      </c>
      <c r="I20" s="1150">
        <f t="shared" si="1"/>
        <v>171.6</v>
      </c>
      <c r="J20" s="1145"/>
      <c r="K20" s="1145"/>
      <c r="L20" s="1145"/>
      <c r="M20" s="1145"/>
      <c r="N20" s="1145"/>
      <c r="O20" s="1145"/>
      <c r="P20" s="1145"/>
      <c r="Q20" s="1146"/>
    </row>
    <row r="21" spans="1:17" s="613" customFormat="1" ht="25" customHeight="1">
      <c r="A21" s="1147" t="s">
        <v>283</v>
      </c>
      <c r="B21" s="1154" t="s">
        <v>820</v>
      </c>
      <c r="C21" s="965">
        <v>5</v>
      </c>
      <c r="D21" s="965">
        <v>1</v>
      </c>
      <c r="E21" s="965">
        <v>3</v>
      </c>
      <c r="F21" s="1149">
        <f t="shared" si="2"/>
        <v>321.75</v>
      </c>
      <c r="G21" s="960">
        <v>70</v>
      </c>
      <c r="H21" s="962">
        <f t="shared" si="0"/>
        <v>1050</v>
      </c>
      <c r="I21" s="1150">
        <f t="shared" si="1"/>
        <v>321.75</v>
      </c>
      <c r="J21" s="1156"/>
      <c r="K21" s="1156"/>
      <c r="L21" s="1156"/>
      <c r="M21" s="1156"/>
      <c r="N21" s="1156"/>
      <c r="O21" s="1156"/>
      <c r="P21" s="1156"/>
      <c r="Q21" s="1157"/>
    </row>
    <row r="22" spans="1:17" s="613" customFormat="1" ht="25" customHeight="1">
      <c r="A22" s="1147" t="s">
        <v>284</v>
      </c>
      <c r="B22" s="1154" t="s">
        <v>821</v>
      </c>
      <c r="C22" s="965">
        <v>3</v>
      </c>
      <c r="D22" s="965">
        <v>1</v>
      </c>
      <c r="E22" s="965">
        <v>3</v>
      </c>
      <c r="F22" s="1149">
        <f t="shared" si="2"/>
        <v>193.05</v>
      </c>
      <c r="G22" s="960">
        <v>70</v>
      </c>
      <c r="H22" s="962">
        <f t="shared" si="0"/>
        <v>630</v>
      </c>
      <c r="I22" s="1150">
        <f t="shared" si="1"/>
        <v>193.05</v>
      </c>
      <c r="J22" s="1156"/>
      <c r="K22" s="1156"/>
      <c r="L22" s="1156"/>
      <c r="M22" s="1156"/>
      <c r="N22" s="1156"/>
      <c r="O22" s="1156"/>
      <c r="P22" s="1156"/>
      <c r="Q22" s="1157"/>
    </row>
    <row r="23" spans="1:17" s="613" customFormat="1" ht="25" customHeight="1">
      <c r="A23" s="1147" t="s">
        <v>287</v>
      </c>
      <c r="B23" s="1056" t="s">
        <v>265</v>
      </c>
      <c r="C23" s="965">
        <v>2</v>
      </c>
      <c r="D23" s="965">
        <v>1</v>
      </c>
      <c r="E23" s="965">
        <v>2</v>
      </c>
      <c r="F23" s="1149">
        <f t="shared" si="2"/>
        <v>66</v>
      </c>
      <c r="G23" s="960">
        <v>40</v>
      </c>
      <c r="H23" s="962">
        <f t="shared" si="0"/>
        <v>160</v>
      </c>
      <c r="I23" s="1150">
        <f t="shared" si="1"/>
        <v>66</v>
      </c>
      <c r="J23" s="1156"/>
      <c r="K23" s="1156"/>
      <c r="L23" s="1156"/>
      <c r="M23" s="1156"/>
      <c r="N23" s="1156"/>
      <c r="O23" s="1156"/>
      <c r="P23" s="1156"/>
      <c r="Q23" s="1157"/>
    </row>
    <row r="24" spans="1:17" s="613" customFormat="1" ht="25" customHeight="1">
      <c r="A24" s="1147" t="s">
        <v>288</v>
      </c>
      <c r="B24" s="1056" t="s">
        <v>822</v>
      </c>
      <c r="C24" s="965">
        <v>2</v>
      </c>
      <c r="D24" s="965">
        <v>1</v>
      </c>
      <c r="E24" s="1153">
        <v>2</v>
      </c>
      <c r="F24" s="1149">
        <f t="shared" si="2"/>
        <v>66</v>
      </c>
      <c r="G24" s="960">
        <v>40</v>
      </c>
      <c r="H24" s="962">
        <f t="shared" si="0"/>
        <v>160</v>
      </c>
      <c r="I24" s="1150">
        <f t="shared" si="1"/>
        <v>66</v>
      </c>
      <c r="J24" s="1156"/>
      <c r="K24" s="1156"/>
      <c r="L24" s="1156"/>
      <c r="M24" s="1156"/>
      <c r="N24" s="1156"/>
      <c r="O24" s="1156"/>
      <c r="P24" s="1156"/>
      <c r="Q24" s="1157"/>
    </row>
    <row r="25" spans="1:17" s="613" customFormat="1" ht="25" customHeight="1">
      <c r="A25" s="1147" t="s">
        <v>289</v>
      </c>
      <c r="B25" s="1154" t="s">
        <v>823</v>
      </c>
      <c r="C25" s="965">
        <v>5</v>
      </c>
      <c r="D25" s="965">
        <v>1.08</v>
      </c>
      <c r="E25" s="965">
        <v>3</v>
      </c>
      <c r="F25" s="1149">
        <f t="shared" si="2"/>
        <v>321.75</v>
      </c>
      <c r="G25" s="960">
        <v>70</v>
      </c>
      <c r="H25" s="962">
        <f t="shared" si="0"/>
        <v>1134</v>
      </c>
      <c r="I25" s="1150">
        <f t="shared" si="1"/>
        <v>321.75</v>
      </c>
      <c r="J25" s="1156"/>
      <c r="K25" s="1156"/>
      <c r="L25" s="1156"/>
      <c r="M25" s="1156"/>
      <c r="N25" s="1156"/>
      <c r="O25" s="1156"/>
      <c r="P25" s="1156"/>
      <c r="Q25" s="1157"/>
    </row>
    <row r="26" spans="1:17" s="613" customFormat="1" ht="25" customHeight="1">
      <c r="A26" s="1147" t="s">
        <v>290</v>
      </c>
      <c r="B26" s="1155" t="s">
        <v>824</v>
      </c>
      <c r="C26" s="965">
        <v>5</v>
      </c>
      <c r="D26" s="965">
        <v>1.08</v>
      </c>
      <c r="E26" s="965">
        <v>3</v>
      </c>
      <c r="F26" s="1149">
        <f t="shared" si="2"/>
        <v>321.75</v>
      </c>
      <c r="G26" s="960">
        <v>70</v>
      </c>
      <c r="H26" s="962">
        <f t="shared" si="0"/>
        <v>1134</v>
      </c>
      <c r="I26" s="1150">
        <f t="shared" si="1"/>
        <v>321.75</v>
      </c>
      <c r="J26" s="1156"/>
      <c r="K26" s="1156"/>
      <c r="L26" s="1156"/>
      <c r="M26" s="1156"/>
      <c r="N26" s="1156"/>
      <c r="O26" s="1156"/>
      <c r="P26" s="1156"/>
      <c r="Q26" s="1157"/>
    </row>
    <row r="27" spans="1:17" s="613" customFormat="1" ht="25" customHeight="1">
      <c r="A27" s="1147" t="s">
        <v>389</v>
      </c>
      <c r="B27" s="1154" t="s">
        <v>825</v>
      </c>
      <c r="C27" s="965">
        <v>5</v>
      </c>
      <c r="D27" s="965">
        <v>1.08</v>
      </c>
      <c r="E27" s="965">
        <v>3</v>
      </c>
      <c r="F27" s="1149">
        <f t="shared" si="2"/>
        <v>321.75</v>
      </c>
      <c r="G27" s="960">
        <v>70</v>
      </c>
      <c r="H27" s="962">
        <f t="shared" si="0"/>
        <v>1134</v>
      </c>
      <c r="I27" s="1150">
        <f t="shared" si="1"/>
        <v>321.75</v>
      </c>
      <c r="J27" s="1156"/>
      <c r="K27" s="1156"/>
      <c r="L27" s="1156"/>
      <c r="M27" s="1156"/>
      <c r="N27" s="1156"/>
      <c r="O27" s="1156"/>
      <c r="P27" s="1156"/>
      <c r="Q27" s="1157"/>
    </row>
    <row r="28" spans="1:17" s="613" customFormat="1" ht="25" customHeight="1">
      <c r="A28" s="1147" t="s">
        <v>390</v>
      </c>
      <c r="B28" s="1154" t="s">
        <v>826</v>
      </c>
      <c r="C28" s="965">
        <v>2</v>
      </c>
      <c r="D28" s="965">
        <v>1.4</v>
      </c>
      <c r="E28" s="965">
        <v>3</v>
      </c>
      <c r="F28" s="1149">
        <f t="shared" si="2"/>
        <v>99</v>
      </c>
      <c r="G28" s="960">
        <v>40</v>
      </c>
      <c r="H28" s="962">
        <f t="shared" si="0"/>
        <v>336</v>
      </c>
      <c r="I28" s="1150">
        <f t="shared" si="1"/>
        <v>99</v>
      </c>
      <c r="J28" s="1156"/>
      <c r="K28" s="1156"/>
      <c r="L28" s="1156"/>
      <c r="M28" s="1156"/>
      <c r="N28" s="1156"/>
      <c r="O28" s="1156"/>
      <c r="P28" s="1156"/>
      <c r="Q28" s="1157"/>
    </row>
    <row r="29" spans="1:17" s="613" customFormat="1" ht="25" customHeight="1">
      <c r="A29" s="1147" t="s">
        <v>391</v>
      </c>
      <c r="B29" s="1154" t="s">
        <v>827</v>
      </c>
      <c r="C29" s="965">
        <v>3</v>
      </c>
      <c r="D29" s="965">
        <v>1</v>
      </c>
      <c r="E29" s="965">
        <v>3</v>
      </c>
      <c r="F29" s="1149">
        <f t="shared" si="2"/>
        <v>148.5</v>
      </c>
      <c r="G29" s="960">
        <v>65</v>
      </c>
      <c r="H29" s="962">
        <f t="shared" si="0"/>
        <v>585</v>
      </c>
      <c r="I29" s="1150">
        <f t="shared" si="1"/>
        <v>148.5</v>
      </c>
      <c r="J29" s="1156"/>
      <c r="K29" s="1156"/>
      <c r="L29" s="1156"/>
      <c r="M29" s="1156"/>
      <c r="N29" s="1156"/>
      <c r="O29" s="1156"/>
      <c r="P29" s="1156"/>
      <c r="Q29" s="1157"/>
    </row>
    <row r="30" spans="1:17" s="613" customFormat="1" ht="25" customHeight="1">
      <c r="A30" s="1147" t="s">
        <v>392</v>
      </c>
      <c r="B30" s="1056" t="s">
        <v>828</v>
      </c>
      <c r="C30" s="965">
        <v>2</v>
      </c>
      <c r="D30" s="965">
        <v>1</v>
      </c>
      <c r="E30" s="965">
        <v>1</v>
      </c>
      <c r="F30" s="1149">
        <f t="shared" si="2"/>
        <v>42.9</v>
      </c>
      <c r="G30" s="960">
        <v>70</v>
      </c>
      <c r="H30" s="962">
        <f t="shared" si="0"/>
        <v>140</v>
      </c>
      <c r="I30" s="1150">
        <f t="shared" si="1"/>
        <v>42.9</v>
      </c>
      <c r="J30" s="1156"/>
      <c r="K30" s="1156"/>
      <c r="L30" s="1156"/>
      <c r="M30" s="1156"/>
      <c r="N30" s="1156"/>
      <c r="O30" s="1156"/>
      <c r="P30" s="1156"/>
      <c r="Q30" s="1157"/>
    </row>
    <row r="31" spans="1:17" s="613" customFormat="1" ht="25" customHeight="1">
      <c r="A31" s="1147" t="s">
        <v>393</v>
      </c>
      <c r="B31" s="1056" t="s">
        <v>829</v>
      </c>
      <c r="C31" s="965">
        <v>2</v>
      </c>
      <c r="D31" s="965">
        <v>1</v>
      </c>
      <c r="E31" s="965">
        <v>1</v>
      </c>
      <c r="F31" s="1149">
        <f t="shared" si="2"/>
        <v>42.9</v>
      </c>
      <c r="G31" s="960">
        <v>70</v>
      </c>
      <c r="H31" s="962">
        <f t="shared" si="0"/>
        <v>140</v>
      </c>
      <c r="I31" s="1150">
        <f t="shared" si="1"/>
        <v>42.9</v>
      </c>
      <c r="J31" s="1156"/>
      <c r="K31" s="1156"/>
      <c r="L31" s="1156"/>
      <c r="M31" s="1156"/>
      <c r="N31" s="1156"/>
      <c r="O31" s="1156"/>
      <c r="P31" s="1156"/>
      <c r="Q31" s="1157"/>
    </row>
    <row r="32" spans="1:17" s="613" customFormat="1" ht="25" customHeight="1">
      <c r="A32" s="1147" t="s">
        <v>394</v>
      </c>
      <c r="B32" s="1154" t="s">
        <v>264</v>
      </c>
      <c r="C32" s="1158">
        <v>3</v>
      </c>
      <c r="D32" s="965">
        <v>1</v>
      </c>
      <c r="E32" s="1159">
        <v>3</v>
      </c>
      <c r="F32" s="1149">
        <f t="shared" si="2"/>
        <v>193.05</v>
      </c>
      <c r="G32" s="1160">
        <v>70</v>
      </c>
      <c r="H32" s="962">
        <f t="shared" si="0"/>
        <v>630</v>
      </c>
      <c r="I32" s="1150">
        <f t="shared" si="1"/>
        <v>193.05</v>
      </c>
      <c r="J32" s="1156"/>
      <c r="K32" s="1156"/>
      <c r="L32" s="1156"/>
      <c r="M32" s="1156"/>
      <c r="N32" s="1156"/>
      <c r="O32" s="1156"/>
      <c r="P32" s="1156"/>
      <c r="Q32" s="1157"/>
    </row>
    <row r="33" spans="1:17" s="613" customFormat="1" ht="25" customHeight="1">
      <c r="A33" s="1147" t="s">
        <v>395</v>
      </c>
      <c r="B33" s="1056" t="s">
        <v>631</v>
      </c>
      <c r="C33" s="965">
        <v>3</v>
      </c>
      <c r="D33" s="965">
        <v>1</v>
      </c>
      <c r="E33" s="965">
        <v>3</v>
      </c>
      <c r="F33" s="1149">
        <f t="shared" si="2"/>
        <v>193.05</v>
      </c>
      <c r="G33" s="960">
        <v>70</v>
      </c>
      <c r="H33" s="962">
        <f t="shared" si="0"/>
        <v>630</v>
      </c>
      <c r="I33" s="1150">
        <f t="shared" si="1"/>
        <v>193.05</v>
      </c>
      <c r="J33" s="1156"/>
      <c r="K33" s="1156"/>
      <c r="L33" s="1156"/>
      <c r="M33" s="1156"/>
      <c r="N33" s="1156"/>
      <c r="O33" s="1156"/>
      <c r="P33" s="1156"/>
      <c r="Q33" s="1157"/>
    </row>
    <row r="34" spans="1:17" s="613" customFormat="1" ht="25" customHeight="1">
      <c r="A34" s="1147" t="s">
        <v>396</v>
      </c>
      <c r="B34" s="1154" t="s">
        <v>830</v>
      </c>
      <c r="C34" s="965">
        <v>2</v>
      </c>
      <c r="D34" s="965">
        <v>1.4</v>
      </c>
      <c r="E34" s="965">
        <v>4</v>
      </c>
      <c r="F34" s="1149">
        <f t="shared" si="2"/>
        <v>132</v>
      </c>
      <c r="G34" s="960">
        <v>40</v>
      </c>
      <c r="H34" s="962">
        <f t="shared" si="0"/>
        <v>448</v>
      </c>
      <c r="I34" s="1150">
        <f t="shared" si="1"/>
        <v>132</v>
      </c>
      <c r="J34" s="1156"/>
      <c r="K34" s="1156"/>
      <c r="L34" s="1156"/>
      <c r="M34" s="1156"/>
      <c r="N34" s="1156"/>
      <c r="O34" s="1156"/>
      <c r="P34" s="1156"/>
      <c r="Q34" s="1157"/>
    </row>
    <row r="35" spans="1:17" s="613" customFormat="1" ht="25" customHeight="1">
      <c r="A35" s="1147" t="s">
        <v>397</v>
      </c>
      <c r="B35" s="1056" t="s">
        <v>262</v>
      </c>
      <c r="C35" s="965">
        <v>3</v>
      </c>
      <c r="D35" s="965">
        <v>1</v>
      </c>
      <c r="E35" s="965">
        <v>1</v>
      </c>
      <c r="F35" s="1149">
        <f t="shared" si="2"/>
        <v>49.5</v>
      </c>
      <c r="G35" s="960">
        <v>21</v>
      </c>
      <c r="H35" s="962">
        <f t="shared" si="0"/>
        <v>63</v>
      </c>
      <c r="I35" s="1150">
        <f t="shared" si="1"/>
        <v>49.5</v>
      </c>
      <c r="J35" s="1156"/>
      <c r="K35" s="1156"/>
      <c r="L35" s="1156"/>
      <c r="M35" s="1156"/>
      <c r="N35" s="1156"/>
      <c r="O35" s="1156"/>
      <c r="P35" s="1156"/>
      <c r="Q35" s="1157"/>
    </row>
    <row r="36" spans="1:17" s="613" customFormat="1" ht="25" customHeight="1">
      <c r="A36" s="1147" t="s">
        <v>398</v>
      </c>
      <c r="B36" s="1154" t="s">
        <v>628</v>
      </c>
      <c r="C36" s="965">
        <v>4</v>
      </c>
      <c r="D36" s="965">
        <v>1</v>
      </c>
      <c r="E36" s="965">
        <v>3</v>
      </c>
      <c r="F36" s="1149">
        <f t="shared" si="2"/>
        <v>257.40000000000003</v>
      </c>
      <c r="G36" s="960">
        <v>70</v>
      </c>
      <c r="H36" s="962">
        <f t="shared" si="0"/>
        <v>840</v>
      </c>
      <c r="I36" s="1150">
        <f t="shared" si="1"/>
        <v>257.40000000000003</v>
      </c>
      <c r="J36" s="1156"/>
      <c r="K36" s="1156"/>
      <c r="L36" s="1156"/>
      <c r="M36" s="1156"/>
      <c r="N36" s="1156"/>
      <c r="O36" s="1156"/>
      <c r="P36" s="1156"/>
      <c r="Q36" s="1157"/>
    </row>
    <row r="37" spans="1:17" s="613" customFormat="1" ht="25" customHeight="1">
      <c r="A37" s="1147" t="s">
        <v>399</v>
      </c>
      <c r="B37" s="1154" t="s">
        <v>831</v>
      </c>
      <c r="C37" s="965">
        <v>3</v>
      </c>
      <c r="D37" s="965">
        <v>1</v>
      </c>
      <c r="E37" s="965">
        <v>3</v>
      </c>
      <c r="F37" s="1149">
        <f t="shared" si="2"/>
        <v>193.05</v>
      </c>
      <c r="G37" s="960">
        <v>70</v>
      </c>
      <c r="H37" s="962">
        <f t="shared" si="0"/>
        <v>630</v>
      </c>
      <c r="I37" s="1150">
        <f t="shared" si="1"/>
        <v>193.05</v>
      </c>
      <c r="J37" s="1156"/>
      <c r="K37" s="1156"/>
      <c r="L37" s="1156"/>
      <c r="M37" s="1156"/>
      <c r="N37" s="1156"/>
      <c r="O37" s="1156"/>
      <c r="P37" s="1156"/>
      <c r="Q37" s="1157"/>
    </row>
    <row r="38" spans="1:17" s="613" customFormat="1" ht="25" customHeight="1">
      <c r="A38" s="1147" t="s">
        <v>400</v>
      </c>
      <c r="B38" s="1154" t="s">
        <v>832</v>
      </c>
      <c r="C38" s="965">
        <v>4</v>
      </c>
      <c r="D38" s="965">
        <v>1</v>
      </c>
      <c r="E38" s="965">
        <v>4</v>
      </c>
      <c r="F38" s="1149">
        <f t="shared" si="2"/>
        <v>264</v>
      </c>
      <c r="G38" s="960">
        <v>50</v>
      </c>
      <c r="H38" s="962">
        <f t="shared" si="0"/>
        <v>800</v>
      </c>
      <c r="I38" s="1150">
        <f t="shared" si="1"/>
        <v>264</v>
      </c>
      <c r="J38" s="1156"/>
      <c r="K38" s="1156"/>
      <c r="L38" s="1156"/>
      <c r="M38" s="1156"/>
      <c r="N38" s="1156"/>
      <c r="O38" s="1156"/>
      <c r="P38" s="1156"/>
      <c r="Q38" s="1157"/>
    </row>
    <row r="39" spans="1:17" s="613" customFormat="1" ht="25" customHeight="1">
      <c r="A39" s="1147" t="s">
        <v>401</v>
      </c>
      <c r="B39" s="1154" t="s">
        <v>630</v>
      </c>
      <c r="C39" s="965">
        <v>3</v>
      </c>
      <c r="D39" s="965">
        <v>1</v>
      </c>
      <c r="E39" s="1161">
        <v>4</v>
      </c>
      <c r="F39" s="1149">
        <f t="shared" si="2"/>
        <v>198</v>
      </c>
      <c r="G39" s="960">
        <v>50</v>
      </c>
      <c r="H39" s="962">
        <f t="shared" si="0"/>
        <v>600</v>
      </c>
      <c r="I39" s="1150">
        <f t="shared" si="1"/>
        <v>198</v>
      </c>
      <c r="J39" s="1156"/>
      <c r="K39" s="1156"/>
      <c r="L39" s="1156"/>
      <c r="M39" s="1156"/>
      <c r="N39" s="1156"/>
      <c r="O39" s="1156"/>
      <c r="P39" s="1156"/>
      <c r="Q39" s="1157"/>
    </row>
    <row r="40" spans="1:17" s="613" customFormat="1" ht="25" customHeight="1">
      <c r="A40" s="1147" t="s">
        <v>402</v>
      </c>
      <c r="B40" s="1056" t="s">
        <v>876</v>
      </c>
      <c r="C40" s="965">
        <v>4</v>
      </c>
      <c r="D40" s="965">
        <v>1</v>
      </c>
      <c r="E40" s="965">
        <v>2</v>
      </c>
      <c r="F40" s="1149">
        <f t="shared" si="2"/>
        <v>171.6</v>
      </c>
      <c r="G40" s="960">
        <v>70</v>
      </c>
      <c r="H40" s="962">
        <f t="shared" si="0"/>
        <v>560</v>
      </c>
      <c r="I40" s="1150">
        <f t="shared" si="1"/>
        <v>171.6</v>
      </c>
      <c r="J40" s="1156"/>
      <c r="K40" s="1156"/>
      <c r="L40" s="1156"/>
      <c r="M40" s="1156"/>
      <c r="N40" s="1156"/>
      <c r="O40" s="1156"/>
      <c r="P40" s="1156"/>
      <c r="Q40" s="1157"/>
    </row>
    <row r="41" spans="1:17" s="613" customFormat="1" ht="25" customHeight="1">
      <c r="A41" s="1147" t="s">
        <v>403</v>
      </c>
      <c r="B41" s="1056" t="s">
        <v>877</v>
      </c>
      <c r="C41" s="965">
        <v>4</v>
      </c>
      <c r="D41" s="965">
        <v>1</v>
      </c>
      <c r="E41" s="965">
        <v>2</v>
      </c>
      <c r="F41" s="1149">
        <f t="shared" si="2"/>
        <v>171.6</v>
      </c>
      <c r="G41" s="960">
        <v>70</v>
      </c>
      <c r="H41" s="962">
        <f t="shared" si="0"/>
        <v>560</v>
      </c>
      <c r="I41" s="1150">
        <f t="shared" si="1"/>
        <v>171.6</v>
      </c>
      <c r="J41" s="1156"/>
      <c r="K41" s="1156"/>
      <c r="L41" s="1156"/>
      <c r="M41" s="1156"/>
      <c r="N41" s="1156"/>
      <c r="O41" s="1156"/>
      <c r="P41" s="1156"/>
      <c r="Q41" s="1157"/>
    </row>
    <row r="42" spans="1:17" s="613" customFormat="1" ht="25" customHeight="1">
      <c r="A42" s="1162" t="s">
        <v>146</v>
      </c>
      <c r="B42" s="1163" t="s">
        <v>149</v>
      </c>
      <c r="C42" s="960">
        <v>0</v>
      </c>
      <c r="D42" s="960">
        <v>0</v>
      </c>
      <c r="E42" s="960">
        <v>0</v>
      </c>
      <c r="F42" s="962">
        <v>0</v>
      </c>
      <c r="G42" s="960">
        <v>0</v>
      </c>
      <c r="H42" s="962">
        <f t="shared" si="0"/>
        <v>0</v>
      </c>
      <c r="I42" s="962">
        <v>0</v>
      </c>
      <c r="J42" s="1156"/>
      <c r="K42" s="1156"/>
      <c r="L42" s="1156"/>
      <c r="M42" s="1156"/>
      <c r="N42" s="1156"/>
      <c r="O42" s="1156"/>
      <c r="P42" s="1156"/>
      <c r="Q42" s="1164"/>
    </row>
    <row r="43" spans="1:17" s="613" customFormat="1" ht="25" customHeight="1">
      <c r="A43" s="1165" t="s">
        <v>230</v>
      </c>
      <c r="B43" s="1166" t="s">
        <v>154</v>
      </c>
      <c r="C43" s="960">
        <v>4</v>
      </c>
      <c r="D43" s="960">
        <v>1.4</v>
      </c>
      <c r="E43" s="960">
        <v>4</v>
      </c>
      <c r="F43" s="1149">
        <f t="shared" si="2"/>
        <v>160</v>
      </c>
      <c r="G43" s="960">
        <v>20</v>
      </c>
      <c r="H43" s="962">
        <f t="shared" si="0"/>
        <v>448</v>
      </c>
      <c r="I43" s="1150">
        <f>E43*G43*2</f>
        <v>160</v>
      </c>
      <c r="J43" s="1156"/>
      <c r="K43" s="1156"/>
      <c r="L43" s="1156"/>
      <c r="M43" s="1156"/>
      <c r="N43" s="1156"/>
      <c r="O43" s="1156"/>
      <c r="P43" s="1156"/>
      <c r="Q43" s="1164" t="s">
        <v>683</v>
      </c>
    </row>
    <row r="44" spans="1:17" s="613" customFormat="1" ht="25" customHeight="1">
      <c r="A44" s="1165" t="s">
        <v>231</v>
      </c>
      <c r="B44" s="1166" t="s">
        <v>155</v>
      </c>
      <c r="C44" s="960">
        <v>0</v>
      </c>
      <c r="D44" s="960"/>
      <c r="E44" s="960">
        <v>0</v>
      </c>
      <c r="F44" s="962">
        <v>0</v>
      </c>
      <c r="G44" s="960">
        <v>0</v>
      </c>
      <c r="H44" s="962">
        <f t="shared" si="0"/>
        <v>0</v>
      </c>
      <c r="I44" s="1156">
        <v>0</v>
      </c>
      <c r="J44" s="1156"/>
      <c r="K44" s="1156"/>
      <c r="L44" s="1156"/>
      <c r="M44" s="1156"/>
      <c r="N44" s="1156"/>
      <c r="O44" s="1156"/>
      <c r="P44" s="1156"/>
      <c r="Q44" s="1157"/>
    </row>
    <row r="45" spans="1:17" s="613" customFormat="1" ht="25" customHeight="1">
      <c r="A45" s="1167"/>
      <c r="B45" s="1168" t="s">
        <v>350</v>
      </c>
      <c r="C45" s="1169">
        <f>SUM(C12:C44)</f>
        <v>101</v>
      </c>
      <c r="D45" s="1169">
        <f t="shared" ref="D45:K45" si="3">SUM(D12:D44)</f>
        <v>33.139999999999993</v>
      </c>
      <c r="E45" s="1169">
        <f t="shared" si="3"/>
        <v>108</v>
      </c>
      <c r="F45" s="1169">
        <f t="shared" si="3"/>
        <v>6667.6</v>
      </c>
      <c r="G45" s="1169">
        <f t="shared" si="3"/>
        <v>1761</v>
      </c>
      <c r="H45" s="1169">
        <f t="shared" si="3"/>
        <v>19052</v>
      </c>
      <c r="I45" s="1169">
        <f t="shared" si="3"/>
        <v>6667.6</v>
      </c>
      <c r="J45" s="1169">
        <f t="shared" si="3"/>
        <v>0</v>
      </c>
      <c r="K45" s="1169">
        <f t="shared" si="3"/>
        <v>0</v>
      </c>
      <c r="L45" s="1170"/>
      <c r="M45" s="1170"/>
      <c r="N45" s="1170"/>
      <c r="O45" s="1170"/>
      <c r="P45" s="1170"/>
      <c r="Q45" s="1171"/>
    </row>
    <row r="46" spans="1:17" s="613" customFormat="1" ht="25" customHeight="1">
      <c r="A46" s="1138">
        <v>2</v>
      </c>
      <c r="B46" s="1142" t="s">
        <v>162</v>
      </c>
      <c r="C46" s="962"/>
      <c r="D46" s="962"/>
      <c r="E46" s="962"/>
      <c r="F46" s="1149"/>
      <c r="G46" s="962"/>
      <c r="H46" s="962">
        <f t="shared" si="0"/>
        <v>0</v>
      </c>
      <c r="I46" s="1150"/>
      <c r="J46" s="1156"/>
      <c r="K46" s="1156"/>
      <c r="L46" s="1156"/>
      <c r="M46" s="1156"/>
      <c r="N46" s="1156"/>
      <c r="O46" s="1156"/>
      <c r="P46" s="1156"/>
      <c r="Q46" s="1157"/>
    </row>
    <row r="47" spans="1:17" s="613" customFormat="1" ht="25" customHeight="1">
      <c r="A47" s="1143" t="s">
        <v>145</v>
      </c>
      <c r="B47" s="1144" t="s">
        <v>163</v>
      </c>
      <c r="C47" s="962"/>
      <c r="D47" s="962"/>
      <c r="E47" s="962"/>
      <c r="F47" s="1149"/>
      <c r="G47" s="962"/>
      <c r="H47" s="962">
        <f t="shared" si="0"/>
        <v>0</v>
      </c>
      <c r="I47" s="1150"/>
      <c r="J47" s="1156"/>
      <c r="K47" s="1156"/>
      <c r="L47" s="1156"/>
      <c r="M47" s="1156"/>
      <c r="N47" s="1156"/>
      <c r="O47" s="1156"/>
      <c r="P47" s="1156"/>
      <c r="Q47" s="1157"/>
    </row>
    <row r="48" spans="1:17" s="613" customFormat="1" ht="25" customHeight="1">
      <c r="A48" s="1147" t="s">
        <v>224</v>
      </c>
      <c r="B48" s="1172" t="s">
        <v>267</v>
      </c>
      <c r="C48" s="962">
        <v>3</v>
      </c>
      <c r="D48" s="962">
        <v>1</v>
      </c>
      <c r="E48" s="962">
        <v>3</v>
      </c>
      <c r="F48" s="1149">
        <f t="shared" ref="F48:F53" si="4">(I48+J48+K48)</f>
        <v>103.94999999999999</v>
      </c>
      <c r="G48" s="962">
        <v>10</v>
      </c>
      <c r="H48" s="962">
        <f t="shared" si="0"/>
        <v>90</v>
      </c>
      <c r="I48" s="1150">
        <f t="shared" ref="I48:I53" si="5">C48*E48*16.5*0.7</f>
        <v>103.94999999999999</v>
      </c>
      <c r="J48" s="1156"/>
      <c r="K48" s="1156"/>
      <c r="L48" s="1156"/>
      <c r="M48" s="1156"/>
      <c r="N48" s="1156"/>
      <c r="O48" s="1156"/>
      <c r="P48" s="1156"/>
      <c r="Q48" s="1157"/>
    </row>
    <row r="49" spans="1:17" s="613" customFormat="1" ht="25" customHeight="1">
      <c r="A49" s="1147" t="s">
        <v>225</v>
      </c>
      <c r="B49" s="1172" t="s">
        <v>268</v>
      </c>
      <c r="C49" s="962">
        <v>3</v>
      </c>
      <c r="D49" s="962">
        <v>1</v>
      </c>
      <c r="E49" s="962">
        <v>3</v>
      </c>
      <c r="F49" s="1149">
        <f t="shared" si="4"/>
        <v>103.94999999999999</v>
      </c>
      <c r="G49" s="962">
        <v>10</v>
      </c>
      <c r="H49" s="962">
        <f t="shared" si="0"/>
        <v>90</v>
      </c>
      <c r="I49" s="1150">
        <f t="shared" si="5"/>
        <v>103.94999999999999</v>
      </c>
      <c r="J49" s="1156"/>
      <c r="K49" s="1156"/>
      <c r="L49" s="1156"/>
      <c r="M49" s="1156"/>
      <c r="N49" s="1156"/>
      <c r="O49" s="1156"/>
      <c r="P49" s="1156"/>
      <c r="Q49" s="1157"/>
    </row>
    <row r="50" spans="1:17" s="613" customFormat="1" ht="25" customHeight="1">
      <c r="A50" s="1147" t="s">
        <v>226</v>
      </c>
      <c r="B50" s="1172" t="s">
        <v>269</v>
      </c>
      <c r="C50" s="962">
        <v>3</v>
      </c>
      <c r="D50" s="962">
        <v>1</v>
      </c>
      <c r="E50" s="962">
        <v>3</v>
      </c>
      <c r="F50" s="1149">
        <f t="shared" si="4"/>
        <v>103.94999999999999</v>
      </c>
      <c r="G50" s="962">
        <v>10</v>
      </c>
      <c r="H50" s="962">
        <f t="shared" si="0"/>
        <v>90</v>
      </c>
      <c r="I50" s="1150">
        <f t="shared" si="5"/>
        <v>103.94999999999999</v>
      </c>
      <c r="J50" s="1156"/>
      <c r="K50" s="1156"/>
      <c r="L50" s="1156"/>
      <c r="M50" s="1156"/>
      <c r="N50" s="1156"/>
      <c r="O50" s="1156"/>
      <c r="P50" s="1156"/>
      <c r="Q50" s="1157"/>
    </row>
    <row r="51" spans="1:17" s="613" customFormat="1" ht="25" customHeight="1">
      <c r="A51" s="1147" t="s">
        <v>227</v>
      </c>
      <c r="B51" s="1172" t="s">
        <v>270</v>
      </c>
      <c r="C51" s="962">
        <v>3</v>
      </c>
      <c r="D51" s="962">
        <v>1</v>
      </c>
      <c r="E51" s="962">
        <v>3</v>
      </c>
      <c r="F51" s="1149">
        <f t="shared" si="4"/>
        <v>103.94999999999999</v>
      </c>
      <c r="G51" s="962">
        <v>10</v>
      </c>
      <c r="H51" s="962">
        <f t="shared" si="0"/>
        <v>90</v>
      </c>
      <c r="I51" s="1150">
        <f t="shared" si="5"/>
        <v>103.94999999999999</v>
      </c>
      <c r="J51" s="1156"/>
      <c r="K51" s="1156"/>
      <c r="L51" s="1156"/>
      <c r="M51" s="1156"/>
      <c r="N51" s="1156"/>
      <c r="O51" s="1156"/>
      <c r="P51" s="1156"/>
      <c r="Q51" s="1157"/>
    </row>
    <row r="52" spans="1:17" s="613" customFormat="1" ht="25" customHeight="1">
      <c r="A52" s="1147" t="s">
        <v>228</v>
      </c>
      <c r="B52" s="1173" t="s">
        <v>271</v>
      </c>
      <c r="C52" s="962">
        <v>3</v>
      </c>
      <c r="D52" s="962">
        <v>1</v>
      </c>
      <c r="E52" s="962">
        <v>3</v>
      </c>
      <c r="F52" s="1149">
        <f t="shared" si="4"/>
        <v>103.94999999999999</v>
      </c>
      <c r="G52" s="962">
        <v>10</v>
      </c>
      <c r="H52" s="962">
        <f t="shared" si="0"/>
        <v>90</v>
      </c>
      <c r="I52" s="1150">
        <f t="shared" si="5"/>
        <v>103.94999999999999</v>
      </c>
      <c r="J52" s="1156"/>
      <c r="K52" s="1156"/>
      <c r="L52" s="1156"/>
      <c r="M52" s="1156"/>
      <c r="N52" s="1156"/>
      <c r="O52" s="1156"/>
      <c r="P52" s="1156"/>
      <c r="Q52" s="1157"/>
    </row>
    <row r="53" spans="1:17" s="613" customFormat="1" ht="25" customHeight="1">
      <c r="A53" s="1147" t="s">
        <v>229</v>
      </c>
      <c r="B53" s="1172" t="s">
        <v>522</v>
      </c>
      <c r="C53" s="962">
        <v>3</v>
      </c>
      <c r="D53" s="962">
        <v>1</v>
      </c>
      <c r="E53" s="962">
        <v>4</v>
      </c>
      <c r="F53" s="1149">
        <f t="shared" si="4"/>
        <v>138.6</v>
      </c>
      <c r="G53" s="962">
        <v>15</v>
      </c>
      <c r="H53" s="962">
        <f t="shared" si="0"/>
        <v>180</v>
      </c>
      <c r="I53" s="1150">
        <f t="shared" si="5"/>
        <v>138.6</v>
      </c>
      <c r="J53" s="1156"/>
      <c r="K53" s="1156"/>
      <c r="L53" s="1156"/>
      <c r="M53" s="1156"/>
      <c r="N53" s="1156"/>
      <c r="O53" s="1156"/>
      <c r="P53" s="1156"/>
      <c r="Q53" s="1157"/>
    </row>
    <row r="54" spans="1:17" s="613" customFormat="1" ht="25" customHeight="1">
      <c r="A54" s="1174" t="s">
        <v>146</v>
      </c>
      <c r="B54" s="1163" t="s">
        <v>465</v>
      </c>
      <c r="C54" s="960"/>
      <c r="D54" s="960"/>
      <c r="E54" s="960"/>
      <c r="F54" s="962"/>
      <c r="G54" s="960"/>
      <c r="H54" s="962">
        <f t="shared" si="0"/>
        <v>0</v>
      </c>
      <c r="I54" s="1156"/>
      <c r="J54" s="1156"/>
      <c r="K54" s="1156"/>
      <c r="L54" s="1156"/>
      <c r="M54" s="1156"/>
      <c r="N54" s="1156"/>
      <c r="O54" s="1156"/>
      <c r="P54" s="1156"/>
      <c r="Q54" s="1157"/>
    </row>
    <row r="55" spans="1:17" s="613" customFormat="1" ht="25" customHeight="1">
      <c r="A55" s="1174"/>
      <c r="B55" s="1166" t="s">
        <v>879</v>
      </c>
      <c r="C55" s="960">
        <v>15</v>
      </c>
      <c r="D55" s="960">
        <v>1</v>
      </c>
      <c r="E55" s="960">
        <v>35</v>
      </c>
      <c r="F55" s="1149">
        <f>I55+J55+K55</f>
        <v>8662.5</v>
      </c>
      <c r="G55" s="960">
        <v>1</v>
      </c>
      <c r="H55" s="962">
        <f t="shared" si="0"/>
        <v>525</v>
      </c>
      <c r="I55" s="1150">
        <f>C55*E55*16.5</f>
        <v>8662.5</v>
      </c>
      <c r="J55" s="1156"/>
      <c r="K55" s="1156"/>
      <c r="L55" s="1156"/>
      <c r="M55" s="1156"/>
      <c r="N55" s="1156"/>
      <c r="O55" s="1156"/>
      <c r="P55" s="1156"/>
      <c r="Q55" s="1157" t="s">
        <v>685</v>
      </c>
    </row>
    <row r="56" spans="1:17" s="613" customFormat="1" ht="25" customHeight="1">
      <c r="A56" s="1175"/>
      <c r="B56" s="1168" t="s">
        <v>350</v>
      </c>
      <c r="C56" s="1169">
        <f t="shared" ref="C56:I56" si="6">SUM(C48:C55)</f>
        <v>33</v>
      </c>
      <c r="D56" s="1169">
        <f t="shared" si="6"/>
        <v>7</v>
      </c>
      <c r="E56" s="1169">
        <f t="shared" si="6"/>
        <v>54</v>
      </c>
      <c r="F56" s="1176">
        <f t="shared" si="6"/>
        <v>9320.85</v>
      </c>
      <c r="G56" s="1176">
        <f t="shared" si="6"/>
        <v>66</v>
      </c>
      <c r="H56" s="1176">
        <f t="shared" si="6"/>
        <v>1155</v>
      </c>
      <c r="I56" s="1176">
        <f t="shared" si="6"/>
        <v>9320.85</v>
      </c>
      <c r="J56" s="1170"/>
      <c r="K56" s="1170"/>
      <c r="L56" s="1170"/>
      <c r="M56" s="1170"/>
      <c r="N56" s="1170"/>
      <c r="O56" s="1170"/>
      <c r="P56" s="1170"/>
      <c r="Q56" s="1171"/>
    </row>
    <row r="57" spans="1:17" s="613" customFormat="1" ht="25" customHeight="1">
      <c r="A57" s="1138">
        <v>3</v>
      </c>
      <c r="B57" s="1142" t="s">
        <v>164</v>
      </c>
      <c r="C57" s="962"/>
      <c r="D57" s="962"/>
      <c r="E57" s="962"/>
      <c r="F57" s="1149"/>
      <c r="G57" s="962"/>
      <c r="H57" s="962"/>
      <c r="I57" s="1150"/>
      <c r="J57" s="1156"/>
      <c r="K57" s="1156"/>
      <c r="L57" s="1156"/>
      <c r="M57" s="1156"/>
      <c r="N57" s="1156"/>
      <c r="O57" s="1156"/>
      <c r="P57" s="1156"/>
      <c r="Q57" s="1157"/>
    </row>
    <row r="58" spans="1:17" s="613" customFormat="1" ht="25" customHeight="1">
      <c r="A58" s="1138" t="s">
        <v>7</v>
      </c>
      <c r="B58" s="1142" t="s">
        <v>222</v>
      </c>
      <c r="C58" s="962"/>
      <c r="D58" s="962"/>
      <c r="E58" s="962"/>
      <c r="F58" s="1149"/>
      <c r="G58" s="962"/>
      <c r="H58" s="962"/>
      <c r="I58" s="1150"/>
      <c r="J58" s="1156"/>
      <c r="K58" s="1156"/>
      <c r="L58" s="1156"/>
      <c r="M58" s="1156"/>
      <c r="N58" s="1156"/>
      <c r="O58" s="1156"/>
      <c r="P58" s="1156"/>
      <c r="Q58" s="1157"/>
    </row>
    <row r="59" spans="1:17" s="613" customFormat="1" ht="25" customHeight="1">
      <c r="A59" s="1138">
        <v>1</v>
      </c>
      <c r="B59" s="1144" t="s">
        <v>223</v>
      </c>
      <c r="C59" s="962"/>
      <c r="D59" s="962"/>
      <c r="E59" s="962"/>
      <c r="F59" s="1149"/>
      <c r="G59" s="962"/>
      <c r="H59" s="962"/>
      <c r="I59" s="1150"/>
      <c r="J59" s="1156"/>
      <c r="K59" s="1156"/>
      <c r="L59" s="1156"/>
      <c r="M59" s="1156"/>
      <c r="N59" s="1156"/>
      <c r="O59" s="1156"/>
      <c r="P59" s="1156"/>
      <c r="Q59" s="1157"/>
    </row>
    <row r="60" spans="1:17" s="613" customFormat="1" ht="25" customHeight="1">
      <c r="A60" s="1138" t="s">
        <v>145</v>
      </c>
      <c r="B60" s="1144" t="s">
        <v>161</v>
      </c>
      <c r="C60" s="962"/>
      <c r="D60" s="962"/>
      <c r="E60" s="962"/>
      <c r="F60" s="1149"/>
      <c r="G60" s="962"/>
      <c r="H60" s="962"/>
      <c r="I60" s="1150"/>
      <c r="J60" s="1156"/>
      <c r="K60" s="1156"/>
      <c r="L60" s="1156"/>
      <c r="M60" s="1156"/>
      <c r="N60" s="1156"/>
      <c r="O60" s="1156"/>
      <c r="P60" s="1156"/>
      <c r="Q60" s="1157"/>
    </row>
    <row r="61" spans="1:17" s="613" customFormat="1" ht="25" customHeight="1">
      <c r="A61" s="1165" t="s">
        <v>224</v>
      </c>
      <c r="B61" s="1177" t="s">
        <v>264</v>
      </c>
      <c r="C61" s="960">
        <v>3</v>
      </c>
      <c r="D61" s="960">
        <v>1</v>
      </c>
      <c r="E61" s="960">
        <v>10</v>
      </c>
      <c r="F61" s="1149">
        <f t="shared" ref="F61:F75" si="7">I61+J61+K61</f>
        <v>495</v>
      </c>
      <c r="G61" s="962">
        <v>40</v>
      </c>
      <c r="H61" s="962">
        <f>C61*E61*G61*D61</f>
        <v>1200</v>
      </c>
      <c r="I61" s="1150">
        <f>IF(G61&lt;70, C61*E61*16.5*1, C61*E61*16.5*1.3)</f>
        <v>495</v>
      </c>
      <c r="J61" s="1156"/>
      <c r="K61" s="1156"/>
      <c r="L61" s="1156"/>
      <c r="M61" s="1156"/>
      <c r="N61" s="1156"/>
      <c r="O61" s="1156"/>
      <c r="P61" s="1156"/>
      <c r="Q61" s="1157"/>
    </row>
    <row r="62" spans="1:17" s="613" customFormat="1" ht="25" customHeight="1">
      <c r="A62" s="1165" t="s">
        <v>225</v>
      </c>
      <c r="B62" s="1177" t="s">
        <v>272</v>
      </c>
      <c r="C62" s="960">
        <v>5</v>
      </c>
      <c r="D62" s="960">
        <v>1</v>
      </c>
      <c r="E62" s="960">
        <v>10</v>
      </c>
      <c r="F62" s="1149">
        <f t="shared" si="7"/>
        <v>825</v>
      </c>
      <c r="G62" s="962">
        <v>40</v>
      </c>
      <c r="H62" s="962">
        <f t="shared" ref="H62:H75" si="8">C62*E62*G62*D62</f>
        <v>2000</v>
      </c>
      <c r="I62" s="1150">
        <f t="shared" ref="I62:I75" si="9">IF(G62&lt;70, C62*E62*16.5*1, C62*E62*16.5*1.3)</f>
        <v>825</v>
      </c>
      <c r="J62" s="1156"/>
      <c r="K62" s="1156"/>
      <c r="L62" s="1156"/>
      <c r="M62" s="1156"/>
      <c r="N62" s="1156"/>
      <c r="O62" s="1156"/>
      <c r="P62" s="1156"/>
      <c r="Q62" s="1157"/>
    </row>
    <row r="63" spans="1:17" s="613" customFormat="1" ht="25" customHeight="1">
      <c r="A63" s="1165" t="s">
        <v>226</v>
      </c>
      <c r="B63" s="1177" t="s">
        <v>833</v>
      </c>
      <c r="C63" s="960">
        <v>3</v>
      </c>
      <c r="D63" s="960">
        <v>1</v>
      </c>
      <c r="E63" s="960">
        <v>10</v>
      </c>
      <c r="F63" s="1149">
        <f t="shared" si="7"/>
        <v>495</v>
      </c>
      <c r="G63" s="962">
        <v>40</v>
      </c>
      <c r="H63" s="962">
        <f t="shared" si="8"/>
        <v>1200</v>
      </c>
      <c r="I63" s="1150">
        <f t="shared" si="9"/>
        <v>495</v>
      </c>
      <c r="J63" s="1156"/>
      <c r="K63" s="1156"/>
      <c r="L63" s="1156"/>
      <c r="M63" s="1156"/>
      <c r="N63" s="1156"/>
      <c r="O63" s="1156"/>
      <c r="P63" s="1156"/>
      <c r="Q63" s="1157"/>
    </row>
    <row r="64" spans="1:17" s="613" customFormat="1" ht="25" customHeight="1">
      <c r="A64" s="1165" t="s">
        <v>227</v>
      </c>
      <c r="B64" s="1177" t="s">
        <v>818</v>
      </c>
      <c r="C64" s="960">
        <v>3</v>
      </c>
      <c r="D64" s="960">
        <v>1</v>
      </c>
      <c r="E64" s="960">
        <v>10</v>
      </c>
      <c r="F64" s="1149">
        <f t="shared" si="7"/>
        <v>495</v>
      </c>
      <c r="G64" s="962">
        <v>40</v>
      </c>
      <c r="H64" s="962">
        <f t="shared" si="8"/>
        <v>1200</v>
      </c>
      <c r="I64" s="1150">
        <f t="shared" si="9"/>
        <v>495</v>
      </c>
      <c r="J64" s="1156"/>
      <c r="K64" s="1156"/>
      <c r="L64" s="1156"/>
      <c r="M64" s="1156"/>
      <c r="N64" s="1156"/>
      <c r="O64" s="1156"/>
      <c r="P64" s="1156"/>
      <c r="Q64" s="1157"/>
    </row>
    <row r="65" spans="1:17" s="613" customFormat="1" ht="25" customHeight="1">
      <c r="A65" s="1165" t="s">
        <v>228</v>
      </c>
      <c r="B65" s="1177" t="s">
        <v>275</v>
      </c>
      <c r="C65" s="960">
        <v>2</v>
      </c>
      <c r="D65" s="960">
        <v>1</v>
      </c>
      <c r="E65" s="960">
        <v>10</v>
      </c>
      <c r="F65" s="1149">
        <f>I65+J65+K65</f>
        <v>330</v>
      </c>
      <c r="G65" s="962">
        <v>40</v>
      </c>
      <c r="H65" s="962">
        <f t="shared" si="8"/>
        <v>800</v>
      </c>
      <c r="I65" s="1150">
        <f t="shared" si="9"/>
        <v>330</v>
      </c>
      <c r="J65" s="1156"/>
      <c r="K65" s="1156"/>
      <c r="L65" s="1156"/>
      <c r="M65" s="1156"/>
      <c r="N65" s="1156"/>
      <c r="O65" s="1156"/>
      <c r="P65" s="1156"/>
      <c r="Q65" s="1157"/>
    </row>
    <row r="66" spans="1:17" s="613" customFormat="1" ht="25" customHeight="1">
      <c r="A66" s="1165" t="s">
        <v>229</v>
      </c>
      <c r="B66" s="1177" t="s">
        <v>276</v>
      </c>
      <c r="C66" s="960">
        <v>3</v>
      </c>
      <c r="D66" s="960">
        <v>1</v>
      </c>
      <c r="E66" s="960">
        <v>10</v>
      </c>
      <c r="F66" s="1149">
        <f t="shared" si="7"/>
        <v>495</v>
      </c>
      <c r="G66" s="962">
        <v>40</v>
      </c>
      <c r="H66" s="962">
        <f t="shared" si="8"/>
        <v>1200</v>
      </c>
      <c r="I66" s="1150">
        <f t="shared" si="9"/>
        <v>495</v>
      </c>
      <c r="J66" s="1156"/>
      <c r="K66" s="1156"/>
      <c r="L66" s="1156"/>
      <c r="M66" s="1156"/>
      <c r="N66" s="1156"/>
      <c r="O66" s="1156"/>
      <c r="P66" s="1156"/>
      <c r="Q66" s="1157"/>
    </row>
    <row r="67" spans="1:17" s="613" customFormat="1" ht="25" customHeight="1">
      <c r="A67" s="1165" t="s">
        <v>280</v>
      </c>
      <c r="B67" s="1177" t="s">
        <v>880</v>
      </c>
      <c r="C67" s="960">
        <v>2</v>
      </c>
      <c r="D67" s="960">
        <v>1</v>
      </c>
      <c r="E67" s="960">
        <v>10</v>
      </c>
      <c r="F67" s="1149">
        <f t="shared" si="7"/>
        <v>330</v>
      </c>
      <c r="G67" s="962">
        <v>40</v>
      </c>
      <c r="H67" s="962">
        <f t="shared" si="8"/>
        <v>800</v>
      </c>
      <c r="I67" s="1150">
        <f t="shared" si="9"/>
        <v>330</v>
      </c>
      <c r="J67" s="1156"/>
      <c r="K67" s="1156"/>
      <c r="L67" s="1156"/>
      <c r="M67" s="1156"/>
      <c r="N67" s="1156"/>
      <c r="O67" s="1156"/>
      <c r="P67" s="1156"/>
      <c r="Q67" s="1157"/>
    </row>
    <row r="68" spans="1:17" s="613" customFormat="1" ht="25" customHeight="1">
      <c r="A68" s="1165" t="s">
        <v>281</v>
      </c>
      <c r="B68" s="1178" t="s">
        <v>254</v>
      </c>
      <c r="C68" s="960">
        <v>3</v>
      </c>
      <c r="D68" s="960">
        <v>1</v>
      </c>
      <c r="E68" s="960">
        <v>10</v>
      </c>
      <c r="F68" s="1149">
        <f t="shared" si="7"/>
        <v>495</v>
      </c>
      <c r="G68" s="962">
        <v>40</v>
      </c>
      <c r="H68" s="962">
        <f t="shared" si="8"/>
        <v>1200</v>
      </c>
      <c r="I68" s="1150">
        <f t="shared" si="9"/>
        <v>495</v>
      </c>
      <c r="J68" s="1156"/>
      <c r="K68" s="1156"/>
      <c r="L68" s="1156"/>
      <c r="M68" s="1156"/>
      <c r="N68" s="1156"/>
      <c r="O68" s="1156"/>
      <c r="P68" s="1156"/>
      <c r="Q68" s="1157"/>
    </row>
    <row r="69" spans="1:17" s="613" customFormat="1" ht="25" customHeight="1">
      <c r="A69" s="1165" t="s">
        <v>282</v>
      </c>
      <c r="B69" s="1178" t="s">
        <v>260</v>
      </c>
      <c r="C69" s="960">
        <v>5</v>
      </c>
      <c r="D69" s="960">
        <v>1</v>
      </c>
      <c r="E69" s="960">
        <v>10</v>
      </c>
      <c r="F69" s="1149">
        <f t="shared" si="7"/>
        <v>825</v>
      </c>
      <c r="G69" s="962">
        <v>40</v>
      </c>
      <c r="H69" s="962">
        <f t="shared" si="8"/>
        <v>2000</v>
      </c>
      <c r="I69" s="1150">
        <f t="shared" si="9"/>
        <v>825</v>
      </c>
      <c r="J69" s="1156"/>
      <c r="K69" s="1156"/>
      <c r="L69" s="1156"/>
      <c r="M69" s="1156"/>
      <c r="N69" s="1156"/>
      <c r="O69" s="1156"/>
      <c r="P69" s="1156"/>
      <c r="Q69" s="1157"/>
    </row>
    <row r="70" spans="1:17" s="613" customFormat="1" ht="25" customHeight="1">
      <c r="A70" s="1165" t="s">
        <v>283</v>
      </c>
      <c r="B70" s="1178" t="s">
        <v>278</v>
      </c>
      <c r="C70" s="960">
        <v>2</v>
      </c>
      <c r="D70" s="960">
        <v>1</v>
      </c>
      <c r="E70" s="960">
        <v>10</v>
      </c>
      <c r="F70" s="1149">
        <f t="shared" si="7"/>
        <v>330</v>
      </c>
      <c r="G70" s="962">
        <v>40</v>
      </c>
      <c r="H70" s="962">
        <f t="shared" si="8"/>
        <v>800</v>
      </c>
      <c r="I70" s="1150">
        <f t="shared" si="9"/>
        <v>330</v>
      </c>
      <c r="J70" s="1156"/>
      <c r="K70" s="1156"/>
      <c r="L70" s="1156"/>
      <c r="M70" s="1156"/>
      <c r="N70" s="1156"/>
      <c r="O70" s="1156"/>
      <c r="P70" s="1156"/>
      <c r="Q70" s="1157"/>
    </row>
    <row r="71" spans="1:17" s="613" customFormat="1" ht="25" customHeight="1">
      <c r="A71" s="1165" t="s">
        <v>284</v>
      </c>
      <c r="B71" s="1177" t="s">
        <v>881</v>
      </c>
      <c r="C71" s="960">
        <v>3</v>
      </c>
      <c r="D71" s="960">
        <v>1</v>
      </c>
      <c r="E71" s="960">
        <v>10</v>
      </c>
      <c r="F71" s="1149">
        <f t="shared" si="7"/>
        <v>495</v>
      </c>
      <c r="G71" s="962">
        <v>40</v>
      </c>
      <c r="H71" s="962">
        <f t="shared" si="8"/>
        <v>1200</v>
      </c>
      <c r="I71" s="1150">
        <f t="shared" si="9"/>
        <v>495</v>
      </c>
      <c r="J71" s="1156"/>
      <c r="K71" s="1156"/>
      <c r="L71" s="1156"/>
      <c r="M71" s="1156"/>
      <c r="N71" s="1156"/>
      <c r="O71" s="1156"/>
      <c r="P71" s="1156"/>
      <c r="Q71" s="1157"/>
    </row>
    <row r="72" spans="1:17" s="614" customFormat="1" ht="25" customHeight="1">
      <c r="A72" s="1179" t="s">
        <v>287</v>
      </c>
      <c r="B72" s="1178" t="s">
        <v>882</v>
      </c>
      <c r="C72" s="960">
        <v>3</v>
      </c>
      <c r="D72" s="960">
        <v>1</v>
      </c>
      <c r="E72" s="960">
        <v>10</v>
      </c>
      <c r="F72" s="1149">
        <f t="shared" si="7"/>
        <v>495</v>
      </c>
      <c r="G72" s="962">
        <v>40</v>
      </c>
      <c r="H72" s="962">
        <f t="shared" si="8"/>
        <v>1200</v>
      </c>
      <c r="I72" s="1150">
        <f t="shared" si="9"/>
        <v>495</v>
      </c>
      <c r="J72" s="1180"/>
      <c r="K72" s="1180"/>
      <c r="L72" s="1180"/>
      <c r="M72" s="1180"/>
      <c r="N72" s="1180"/>
      <c r="O72" s="1180"/>
      <c r="P72" s="1180"/>
      <c r="Q72" s="1181"/>
    </row>
    <row r="73" spans="1:17" s="614" customFormat="1" ht="25" customHeight="1">
      <c r="A73" s="1179" t="s">
        <v>288</v>
      </c>
      <c r="B73" s="1178" t="s">
        <v>628</v>
      </c>
      <c r="C73" s="960">
        <v>5</v>
      </c>
      <c r="D73" s="960">
        <v>1</v>
      </c>
      <c r="E73" s="960">
        <v>10</v>
      </c>
      <c r="F73" s="1149">
        <f t="shared" si="7"/>
        <v>825</v>
      </c>
      <c r="G73" s="962">
        <v>40</v>
      </c>
      <c r="H73" s="962">
        <f t="shared" si="8"/>
        <v>2000</v>
      </c>
      <c r="I73" s="1150">
        <f t="shared" si="9"/>
        <v>825</v>
      </c>
      <c r="J73" s="1182"/>
      <c r="K73" s="1182"/>
      <c r="L73" s="1183"/>
      <c r="M73" s="1184"/>
      <c r="N73" s="1184"/>
      <c r="O73" s="1185"/>
      <c r="P73" s="1185"/>
      <c r="Q73" s="1181"/>
    </row>
    <row r="74" spans="1:17" s="614" customFormat="1" ht="25" customHeight="1">
      <c r="A74" s="1179" t="s">
        <v>289</v>
      </c>
      <c r="B74" s="1178" t="s">
        <v>286</v>
      </c>
      <c r="C74" s="960">
        <v>5</v>
      </c>
      <c r="D74" s="960">
        <v>1</v>
      </c>
      <c r="E74" s="960">
        <v>10</v>
      </c>
      <c r="F74" s="1149">
        <f t="shared" si="7"/>
        <v>825</v>
      </c>
      <c r="G74" s="962">
        <v>40</v>
      </c>
      <c r="H74" s="962">
        <f t="shared" si="8"/>
        <v>2000</v>
      </c>
      <c r="I74" s="1150">
        <f t="shared" si="9"/>
        <v>825</v>
      </c>
      <c r="J74" s="1182"/>
      <c r="K74" s="1182"/>
      <c r="L74" s="1183"/>
      <c r="M74" s="1184"/>
      <c r="N74" s="1184"/>
      <c r="O74" s="1185"/>
      <c r="P74" s="1185"/>
      <c r="Q74" s="1181"/>
    </row>
    <row r="75" spans="1:17" s="614" customFormat="1" ht="25" customHeight="1">
      <c r="A75" s="1179" t="s">
        <v>290</v>
      </c>
      <c r="B75" s="1178" t="s">
        <v>261</v>
      </c>
      <c r="C75" s="960">
        <v>3</v>
      </c>
      <c r="D75" s="960">
        <v>1</v>
      </c>
      <c r="E75" s="960">
        <v>10</v>
      </c>
      <c r="F75" s="1149">
        <f t="shared" si="7"/>
        <v>495</v>
      </c>
      <c r="G75" s="962">
        <v>40</v>
      </c>
      <c r="H75" s="962">
        <f t="shared" si="8"/>
        <v>1200</v>
      </c>
      <c r="I75" s="1150">
        <f t="shared" si="9"/>
        <v>495</v>
      </c>
      <c r="J75" s="1182"/>
      <c r="K75" s="1182"/>
      <c r="L75" s="1183"/>
      <c r="M75" s="1184"/>
      <c r="N75" s="1184"/>
      <c r="O75" s="1185"/>
      <c r="P75" s="1185"/>
      <c r="Q75" s="1181"/>
    </row>
    <row r="76" spans="1:17" s="614" customFormat="1" ht="25" customHeight="1">
      <c r="A76" s="1186"/>
      <c r="B76" s="1168" t="s">
        <v>350</v>
      </c>
      <c r="C76" s="1169">
        <f t="shared" ref="C76:I76" si="10">SUM(C61:C75)</f>
        <v>50</v>
      </c>
      <c r="D76" s="1169">
        <f t="shared" si="10"/>
        <v>15</v>
      </c>
      <c r="E76" s="1169">
        <f t="shared" si="10"/>
        <v>150</v>
      </c>
      <c r="F76" s="1169">
        <f t="shared" si="10"/>
        <v>8250</v>
      </c>
      <c r="G76" s="1169">
        <f t="shared" si="10"/>
        <v>600</v>
      </c>
      <c r="H76" s="1169">
        <f t="shared" si="10"/>
        <v>20000</v>
      </c>
      <c r="I76" s="1169">
        <f t="shared" si="10"/>
        <v>8250</v>
      </c>
      <c r="J76" s="1182"/>
      <c r="K76" s="1182"/>
      <c r="L76" s="1183"/>
      <c r="M76" s="1184"/>
      <c r="N76" s="1184"/>
      <c r="O76" s="1185"/>
      <c r="P76" s="1185"/>
      <c r="Q76" s="1181"/>
    </row>
    <row r="77" spans="1:17" s="614" customFormat="1" ht="25" customHeight="1">
      <c r="A77" s="1187">
        <v>2</v>
      </c>
      <c r="B77" s="1188" t="s">
        <v>83</v>
      </c>
      <c r="C77" s="1189">
        <v>0</v>
      </c>
      <c r="D77" s="1189">
        <v>0</v>
      </c>
      <c r="E77" s="1189">
        <v>0</v>
      </c>
      <c r="F77" s="1189"/>
      <c r="G77" s="962">
        <v>0</v>
      </c>
      <c r="H77" s="1161"/>
      <c r="I77" s="1161"/>
      <c r="J77" s="1182"/>
      <c r="K77" s="1182"/>
      <c r="L77" s="1183"/>
      <c r="M77" s="1184"/>
      <c r="N77" s="1184"/>
      <c r="O77" s="1185"/>
      <c r="P77" s="1185"/>
      <c r="Q77" s="1181"/>
    </row>
    <row r="78" spans="1:17" s="613" customFormat="1" ht="25" customHeight="1">
      <c r="A78" s="1190"/>
      <c r="B78" s="1191" t="s">
        <v>369</v>
      </c>
      <c r="C78" s="1153">
        <f t="shared" ref="C78:I78" si="11">C45+C56+C76</f>
        <v>184</v>
      </c>
      <c r="D78" s="1153">
        <f t="shared" si="11"/>
        <v>55.139999999999993</v>
      </c>
      <c r="E78" s="1153">
        <f t="shared" si="11"/>
        <v>312</v>
      </c>
      <c r="F78" s="1153">
        <f t="shared" si="11"/>
        <v>24238.45</v>
      </c>
      <c r="G78" s="1153">
        <f t="shared" si="11"/>
        <v>2427</v>
      </c>
      <c r="H78" s="1153">
        <f t="shared" si="11"/>
        <v>40207</v>
      </c>
      <c r="I78" s="1153">
        <f t="shared" si="11"/>
        <v>24238.45</v>
      </c>
      <c r="J78" s="1192">
        <v>0</v>
      </c>
      <c r="K78" s="1192">
        <v>0</v>
      </c>
      <c r="L78" s="1193">
        <f>'Bieu3 GDTH'!F24</f>
        <v>2632</v>
      </c>
      <c r="M78" s="1194">
        <f>'Bieu3 GDTH'!N24</f>
        <v>2402.5</v>
      </c>
      <c r="N78" s="1194">
        <f>F78-M78</f>
        <v>21835.95</v>
      </c>
      <c r="O78" s="1153">
        <f>'Bieu3 GDTH'!O24</f>
        <v>1422.25</v>
      </c>
      <c r="P78" s="1153">
        <f>'Bieu3 GDTH'!P24</f>
        <v>780</v>
      </c>
      <c r="Q78" s="1195" t="s">
        <v>686</v>
      </c>
    </row>
    <row r="79" spans="1:17" s="613" customFormat="1" ht="25" customHeight="1">
      <c r="A79" s="1138" t="s">
        <v>18</v>
      </c>
      <c r="B79" s="1139" t="s">
        <v>370</v>
      </c>
      <c r="C79" s="962"/>
      <c r="D79" s="962"/>
      <c r="E79" s="962"/>
      <c r="F79" s="962"/>
      <c r="G79" s="962"/>
      <c r="H79" s="962"/>
      <c r="I79" s="1156"/>
      <c r="J79" s="1156"/>
      <c r="K79" s="1156"/>
      <c r="L79" s="1156"/>
      <c r="M79" s="1156"/>
      <c r="N79" s="1156"/>
      <c r="O79" s="1156"/>
      <c r="P79" s="1156"/>
      <c r="Q79" s="1157"/>
    </row>
    <row r="80" spans="1:17" s="613" customFormat="1" ht="25" customHeight="1">
      <c r="A80" s="1196" t="s">
        <v>372</v>
      </c>
      <c r="B80" s="1197" t="s">
        <v>373</v>
      </c>
      <c r="C80" s="962"/>
      <c r="D80" s="962"/>
      <c r="E80" s="962"/>
      <c r="F80" s="962"/>
      <c r="G80" s="962"/>
      <c r="H80" s="962"/>
      <c r="I80" s="1156"/>
      <c r="J80" s="1156"/>
      <c r="K80" s="1156"/>
      <c r="L80" s="1156"/>
      <c r="M80" s="1156"/>
      <c r="N80" s="1156"/>
      <c r="O80" s="1156"/>
      <c r="P80" s="1156"/>
      <c r="Q80" s="1157"/>
    </row>
    <row r="81" spans="1:17" s="613" customFormat="1" ht="25" customHeight="1">
      <c r="A81" s="1196">
        <v>1</v>
      </c>
      <c r="B81" s="1197" t="s">
        <v>374</v>
      </c>
      <c r="C81" s="962"/>
      <c r="D81" s="962"/>
      <c r="E81" s="962"/>
      <c r="F81" s="962"/>
      <c r="G81" s="962"/>
      <c r="H81" s="962"/>
      <c r="I81" s="1156"/>
      <c r="J81" s="1156"/>
      <c r="K81" s="1156"/>
      <c r="L81" s="1156"/>
      <c r="M81" s="1156"/>
      <c r="N81" s="1156"/>
      <c r="O81" s="1156"/>
      <c r="P81" s="1156"/>
      <c r="Q81" s="1157"/>
    </row>
    <row r="82" spans="1:17" s="613" customFormat="1" ht="25" customHeight="1">
      <c r="A82" s="1198" t="s">
        <v>145</v>
      </c>
      <c r="B82" s="1199" t="s">
        <v>159</v>
      </c>
      <c r="C82" s="962"/>
      <c r="D82" s="962"/>
      <c r="E82" s="962"/>
      <c r="F82" s="962"/>
      <c r="G82" s="962"/>
      <c r="H82" s="962"/>
      <c r="I82" s="1156"/>
      <c r="J82" s="1156"/>
      <c r="K82" s="1156"/>
      <c r="L82" s="1156"/>
      <c r="M82" s="1156"/>
      <c r="N82" s="1156"/>
      <c r="O82" s="1156"/>
      <c r="P82" s="1156"/>
      <c r="Q82" s="1157"/>
    </row>
    <row r="83" spans="1:17" s="613" customFormat="1" ht="25" customHeight="1">
      <c r="A83" s="1147" t="s">
        <v>224</v>
      </c>
      <c r="B83" s="1178" t="s">
        <v>801</v>
      </c>
      <c r="C83" s="968">
        <v>3</v>
      </c>
      <c r="D83" s="968">
        <v>1</v>
      </c>
      <c r="E83" s="968">
        <v>3</v>
      </c>
      <c r="F83" s="1149">
        <f t="shared" ref="F83:F100" si="12">I83+J83+K83</f>
        <v>148.5</v>
      </c>
      <c r="G83" s="968">
        <v>60</v>
      </c>
      <c r="H83" s="962">
        <f>C83*E83*G83*D83</f>
        <v>540</v>
      </c>
      <c r="I83" s="1150">
        <f>IF(G83&lt;70, C83*E83*16.5*1, C83*E83*16.5*1.3)</f>
        <v>148.5</v>
      </c>
      <c r="J83" s="1156"/>
      <c r="K83" s="1156"/>
      <c r="L83" s="1156"/>
      <c r="M83" s="1156"/>
      <c r="N83" s="1156"/>
      <c r="O83" s="1156"/>
      <c r="P83" s="1156"/>
      <c r="Q83" s="1157"/>
    </row>
    <row r="84" spans="1:17" s="613" customFormat="1" ht="25" customHeight="1">
      <c r="A84" s="1147" t="s">
        <v>225</v>
      </c>
      <c r="B84" s="1178" t="s">
        <v>903</v>
      </c>
      <c r="C84" s="968">
        <v>5</v>
      </c>
      <c r="D84" s="968">
        <v>1.3</v>
      </c>
      <c r="E84" s="968">
        <v>4</v>
      </c>
      <c r="F84" s="1149">
        <f t="shared" si="12"/>
        <v>429</v>
      </c>
      <c r="G84" s="968">
        <v>70</v>
      </c>
      <c r="H84" s="962">
        <f t="shared" ref="H84:H104" si="13">C84*E84*G84*D84</f>
        <v>1820</v>
      </c>
      <c r="I84" s="1150">
        <f>IF(G84&lt;70, C84*E84*16.5*1, C84*E84*16.5*1.3)</f>
        <v>429</v>
      </c>
      <c r="J84" s="1156"/>
      <c r="K84" s="1156"/>
      <c r="L84" s="1156"/>
      <c r="M84" s="1156"/>
      <c r="N84" s="1156"/>
      <c r="O84" s="1156"/>
      <c r="P84" s="1156"/>
      <c r="Q84" s="1157"/>
    </row>
    <row r="85" spans="1:17" s="613" customFormat="1" ht="25" customHeight="1">
      <c r="A85" s="1147" t="s">
        <v>226</v>
      </c>
      <c r="B85" s="1178" t="s">
        <v>802</v>
      </c>
      <c r="C85" s="968">
        <v>4</v>
      </c>
      <c r="D85" s="968">
        <v>1</v>
      </c>
      <c r="E85" s="968">
        <v>3</v>
      </c>
      <c r="F85" s="1149">
        <f t="shared" si="12"/>
        <v>198</v>
      </c>
      <c r="G85" s="968">
        <v>60</v>
      </c>
      <c r="H85" s="962">
        <f t="shared" si="13"/>
        <v>720</v>
      </c>
      <c r="I85" s="1150">
        <f>IF(G85&lt;70, C85*E85*16.5*1, C85*E85*16.5*1.3)</f>
        <v>198</v>
      </c>
      <c r="J85" s="1156"/>
      <c r="K85" s="1156"/>
      <c r="L85" s="1156"/>
      <c r="M85" s="1156"/>
      <c r="N85" s="1156"/>
      <c r="O85" s="1156"/>
      <c r="P85" s="1156"/>
      <c r="Q85" s="1157"/>
    </row>
    <row r="86" spans="1:17" s="613" customFormat="1" ht="25" customHeight="1">
      <c r="A86" s="1147" t="s">
        <v>226</v>
      </c>
      <c r="B86" s="1178" t="s">
        <v>633</v>
      </c>
      <c r="C86" s="968">
        <v>3</v>
      </c>
      <c r="D86" s="968">
        <v>1</v>
      </c>
      <c r="E86" s="968">
        <v>2</v>
      </c>
      <c r="F86" s="1149">
        <f t="shared" si="12"/>
        <v>198</v>
      </c>
      <c r="G86" s="968">
        <v>60</v>
      </c>
      <c r="H86" s="962">
        <f t="shared" si="13"/>
        <v>360</v>
      </c>
      <c r="I86" s="1150">
        <f t="shared" ref="I86:I91" si="14">IF(G85&lt;70, C85*E85*16.5*1, C85*E85*16.5*1.3)</f>
        <v>198</v>
      </c>
      <c r="J86" s="1156"/>
      <c r="K86" s="1156"/>
      <c r="L86" s="1156"/>
      <c r="M86" s="1156"/>
      <c r="N86" s="1156"/>
      <c r="O86" s="1156"/>
      <c r="P86" s="1156"/>
      <c r="Q86" s="1157"/>
    </row>
    <row r="87" spans="1:17" s="613" customFormat="1" ht="25" customHeight="1">
      <c r="A87" s="1147" t="s">
        <v>227</v>
      </c>
      <c r="B87" s="1178" t="s">
        <v>803</v>
      </c>
      <c r="C87" s="960">
        <v>3</v>
      </c>
      <c r="D87" s="960">
        <v>1</v>
      </c>
      <c r="E87" s="960">
        <v>3</v>
      </c>
      <c r="F87" s="1149">
        <f t="shared" si="12"/>
        <v>99</v>
      </c>
      <c r="G87" s="960">
        <v>70</v>
      </c>
      <c r="H87" s="962">
        <f t="shared" si="13"/>
        <v>630</v>
      </c>
      <c r="I87" s="1150">
        <f t="shared" si="14"/>
        <v>99</v>
      </c>
      <c r="J87" s="1156"/>
      <c r="K87" s="1156"/>
      <c r="L87" s="1156"/>
      <c r="M87" s="1156"/>
      <c r="N87" s="1156"/>
      <c r="O87" s="1156"/>
      <c r="P87" s="1156"/>
      <c r="Q87" s="1157"/>
    </row>
    <row r="88" spans="1:17" s="613" customFormat="1" ht="25" customHeight="1">
      <c r="A88" s="1147" t="s">
        <v>228</v>
      </c>
      <c r="B88" s="1178" t="s">
        <v>904</v>
      </c>
      <c r="C88" s="960">
        <v>5</v>
      </c>
      <c r="D88" s="960">
        <v>1</v>
      </c>
      <c r="E88" s="960">
        <v>3</v>
      </c>
      <c r="F88" s="1149">
        <f t="shared" si="12"/>
        <v>193.05</v>
      </c>
      <c r="G88" s="960">
        <v>70</v>
      </c>
      <c r="H88" s="962">
        <f t="shared" si="13"/>
        <v>1050</v>
      </c>
      <c r="I88" s="1150">
        <f t="shared" si="14"/>
        <v>193.05</v>
      </c>
      <c r="J88" s="1156"/>
      <c r="K88" s="1156"/>
      <c r="L88" s="1156"/>
      <c r="M88" s="1156"/>
      <c r="N88" s="1156"/>
      <c r="O88" s="1156"/>
      <c r="P88" s="1156"/>
      <c r="Q88" s="1157"/>
    </row>
    <row r="89" spans="1:17" s="613" customFormat="1" ht="25" customHeight="1">
      <c r="A89" s="1147" t="s">
        <v>280</v>
      </c>
      <c r="B89" s="1178" t="s">
        <v>802</v>
      </c>
      <c r="C89" s="960">
        <v>3</v>
      </c>
      <c r="D89" s="960">
        <v>1</v>
      </c>
      <c r="E89" s="960">
        <v>3</v>
      </c>
      <c r="F89" s="1149">
        <f t="shared" si="12"/>
        <v>321.75</v>
      </c>
      <c r="G89" s="960">
        <v>70</v>
      </c>
      <c r="H89" s="962">
        <f t="shared" si="13"/>
        <v>630</v>
      </c>
      <c r="I89" s="1150">
        <f t="shared" si="14"/>
        <v>321.75</v>
      </c>
      <c r="J89" s="1156"/>
      <c r="K89" s="1156"/>
      <c r="L89" s="1156"/>
      <c r="M89" s="1156"/>
      <c r="N89" s="1156"/>
      <c r="O89" s="1156"/>
      <c r="P89" s="1156"/>
      <c r="Q89" s="1157"/>
    </row>
    <row r="90" spans="1:17" s="613" customFormat="1" ht="25" customHeight="1">
      <c r="A90" s="1147" t="s">
        <v>281</v>
      </c>
      <c r="B90" s="1178" t="s">
        <v>492</v>
      </c>
      <c r="C90" s="960">
        <v>2</v>
      </c>
      <c r="D90" s="960">
        <v>1</v>
      </c>
      <c r="E90" s="960">
        <v>1</v>
      </c>
      <c r="F90" s="1149">
        <f t="shared" si="12"/>
        <v>193.05</v>
      </c>
      <c r="G90" s="960">
        <v>40</v>
      </c>
      <c r="H90" s="962">
        <f t="shared" si="13"/>
        <v>80</v>
      </c>
      <c r="I90" s="1150">
        <f t="shared" si="14"/>
        <v>193.05</v>
      </c>
      <c r="J90" s="1156"/>
      <c r="K90" s="1156"/>
      <c r="L90" s="1156"/>
      <c r="M90" s="1156"/>
      <c r="N90" s="1156"/>
      <c r="O90" s="1156"/>
      <c r="P90" s="1156"/>
      <c r="Q90" s="1157"/>
    </row>
    <row r="91" spans="1:17" s="613" customFormat="1" ht="25" customHeight="1">
      <c r="A91" s="1147" t="s">
        <v>282</v>
      </c>
      <c r="B91" s="1177" t="s">
        <v>905</v>
      </c>
      <c r="C91" s="960">
        <v>5</v>
      </c>
      <c r="D91" s="960">
        <v>1</v>
      </c>
      <c r="E91" s="960">
        <v>3</v>
      </c>
      <c r="F91" s="1149">
        <f t="shared" si="12"/>
        <v>33</v>
      </c>
      <c r="G91" s="960">
        <v>70</v>
      </c>
      <c r="H91" s="962">
        <f t="shared" si="13"/>
        <v>1050</v>
      </c>
      <c r="I91" s="1150">
        <f t="shared" si="14"/>
        <v>33</v>
      </c>
      <c r="J91" s="1156"/>
      <c r="K91" s="1156"/>
      <c r="L91" s="1156"/>
      <c r="M91" s="1156"/>
      <c r="N91" s="1156"/>
      <c r="O91" s="1156"/>
      <c r="P91" s="1156"/>
      <c r="Q91" s="1157"/>
    </row>
    <row r="92" spans="1:17" s="613" customFormat="1" ht="25" customHeight="1">
      <c r="A92" s="1147" t="s">
        <v>283</v>
      </c>
      <c r="B92" s="1177" t="s">
        <v>804</v>
      </c>
      <c r="C92" s="960">
        <v>3</v>
      </c>
      <c r="D92" s="960">
        <v>1.2</v>
      </c>
      <c r="E92" s="960">
        <v>2</v>
      </c>
      <c r="F92" s="1149">
        <f t="shared" si="12"/>
        <v>193.05</v>
      </c>
      <c r="G92" s="960">
        <v>25</v>
      </c>
      <c r="H92" s="962">
        <f t="shared" si="13"/>
        <v>180</v>
      </c>
      <c r="I92" s="1150">
        <f>IF(G89&lt;70, C89*E89*16.5*1, C89*E89*16.5*1.3)</f>
        <v>193.05</v>
      </c>
      <c r="J92" s="1156"/>
      <c r="K92" s="1156"/>
      <c r="L92" s="1156"/>
      <c r="M92" s="1156"/>
      <c r="N92" s="1156"/>
      <c r="O92" s="1156"/>
      <c r="P92" s="1156"/>
      <c r="Q92" s="1157"/>
    </row>
    <row r="93" spans="1:17" s="613" customFormat="1" ht="25" customHeight="1">
      <c r="A93" s="1147" t="s">
        <v>284</v>
      </c>
      <c r="B93" s="1177"/>
      <c r="C93" s="960"/>
      <c r="D93" s="960"/>
      <c r="E93" s="960"/>
      <c r="F93" s="1149"/>
      <c r="G93" s="960"/>
      <c r="H93" s="962">
        <f t="shared" si="13"/>
        <v>0</v>
      </c>
      <c r="I93" s="1150"/>
      <c r="J93" s="1156"/>
      <c r="K93" s="1156"/>
      <c r="L93" s="1156"/>
      <c r="M93" s="1156"/>
      <c r="N93" s="1156"/>
      <c r="O93" s="1156"/>
      <c r="P93" s="1156"/>
      <c r="Q93" s="1157"/>
    </row>
    <row r="94" spans="1:17" s="613" customFormat="1" ht="25" customHeight="1">
      <c r="A94" s="1147" t="s">
        <v>287</v>
      </c>
      <c r="B94" s="1177" t="s">
        <v>906</v>
      </c>
      <c r="C94" s="960">
        <v>4</v>
      </c>
      <c r="D94" s="960">
        <v>1</v>
      </c>
      <c r="E94" s="960">
        <v>3</v>
      </c>
      <c r="F94" s="1149">
        <f t="shared" si="12"/>
        <v>99</v>
      </c>
      <c r="G94" s="960">
        <v>70</v>
      </c>
      <c r="H94" s="962">
        <f t="shared" si="13"/>
        <v>840</v>
      </c>
      <c r="I94" s="1150">
        <f>IF(G92&lt;70, C92*E92*16.5*1, C92*E92*16.5*1.3)</f>
        <v>99</v>
      </c>
      <c r="J94" s="1156"/>
      <c r="K94" s="1156"/>
      <c r="L94" s="1156"/>
      <c r="M94" s="1156"/>
      <c r="N94" s="1156"/>
      <c r="O94" s="1156"/>
      <c r="P94" s="1156"/>
      <c r="Q94" s="1157"/>
    </row>
    <row r="95" spans="1:17" s="613" customFormat="1" ht="25" customHeight="1">
      <c r="A95" s="1147" t="s">
        <v>288</v>
      </c>
      <c r="B95" s="1177" t="s">
        <v>907</v>
      </c>
      <c r="C95" s="960">
        <v>4</v>
      </c>
      <c r="D95" s="960">
        <v>1.3</v>
      </c>
      <c r="E95" s="960">
        <v>3</v>
      </c>
      <c r="F95" s="1149">
        <f t="shared" si="12"/>
        <v>0</v>
      </c>
      <c r="G95" s="960">
        <v>70</v>
      </c>
      <c r="H95" s="962">
        <f t="shared" si="13"/>
        <v>1092</v>
      </c>
      <c r="I95" s="1150">
        <f>IF(G93&lt;70, C93*E93*16.5*1, C93*E93*16.5*1.3)</f>
        <v>0</v>
      </c>
      <c r="J95" s="1156"/>
      <c r="K95" s="1156"/>
      <c r="L95" s="1156"/>
      <c r="M95" s="1156"/>
      <c r="N95" s="1156"/>
      <c r="O95" s="1156"/>
      <c r="P95" s="1156"/>
      <c r="Q95" s="1157"/>
    </row>
    <row r="96" spans="1:17" s="613" customFormat="1" ht="25" customHeight="1">
      <c r="A96" s="1147" t="s">
        <v>289</v>
      </c>
      <c r="B96" s="1177" t="s">
        <v>805</v>
      </c>
      <c r="C96" s="960">
        <v>3</v>
      </c>
      <c r="D96" s="960">
        <v>1</v>
      </c>
      <c r="E96" s="960">
        <v>3</v>
      </c>
      <c r="F96" s="1149">
        <f t="shared" si="12"/>
        <v>257.40000000000003</v>
      </c>
      <c r="G96" s="960">
        <v>70</v>
      </c>
      <c r="H96" s="962">
        <f t="shared" si="13"/>
        <v>630</v>
      </c>
      <c r="I96" s="1150">
        <f>IF(G94&lt;70, C94*E94*16.5*1, C94*E94*16.5*1.3)</f>
        <v>257.40000000000003</v>
      </c>
      <c r="J96" s="1156"/>
      <c r="K96" s="1156"/>
      <c r="L96" s="1156"/>
      <c r="M96" s="1156"/>
      <c r="N96" s="1156"/>
      <c r="O96" s="1156"/>
      <c r="P96" s="1156"/>
      <c r="Q96" s="1157"/>
    </row>
    <row r="97" spans="1:17" s="613" customFormat="1" ht="25" customHeight="1">
      <c r="A97" s="1147" t="s">
        <v>290</v>
      </c>
      <c r="B97" s="1177" t="s">
        <v>806</v>
      </c>
      <c r="C97" s="960">
        <v>4</v>
      </c>
      <c r="D97" s="960">
        <v>1</v>
      </c>
      <c r="E97" s="960">
        <v>3</v>
      </c>
      <c r="F97" s="1149">
        <f t="shared" si="12"/>
        <v>257.40000000000003</v>
      </c>
      <c r="G97" s="960">
        <v>70</v>
      </c>
      <c r="H97" s="962">
        <f t="shared" si="13"/>
        <v>840</v>
      </c>
      <c r="I97" s="1150">
        <f>IF(G95&lt;70, C95*E95*16.5*1, C95*E95*16.5*1.3)</f>
        <v>257.40000000000003</v>
      </c>
      <c r="J97" s="958"/>
      <c r="K97" s="958"/>
      <c r="L97" s="1156"/>
      <c r="M97" s="1156"/>
      <c r="N97" s="1156"/>
      <c r="O97" s="1156"/>
      <c r="P97" s="1156"/>
      <c r="Q97" s="1157"/>
    </row>
    <row r="98" spans="1:17" s="613" customFormat="1" ht="25" customHeight="1">
      <c r="A98" s="1147" t="s">
        <v>390</v>
      </c>
      <c r="B98" s="1177" t="s">
        <v>807</v>
      </c>
      <c r="C98" s="960">
        <v>4</v>
      </c>
      <c r="D98" s="960">
        <v>1.1200000000000001</v>
      </c>
      <c r="E98" s="960">
        <v>3</v>
      </c>
      <c r="F98" s="1149">
        <f t="shared" si="12"/>
        <v>193.05</v>
      </c>
      <c r="G98" s="960">
        <v>70</v>
      </c>
      <c r="H98" s="962">
        <f t="shared" si="13"/>
        <v>940.80000000000007</v>
      </c>
      <c r="I98" s="1150">
        <f>IF(G96&lt;70, C96*E96*16.5*1, C96*E96*16.5*1.3)</f>
        <v>193.05</v>
      </c>
      <c r="J98" s="1150"/>
      <c r="K98" s="1156"/>
      <c r="L98" s="1156"/>
      <c r="M98" s="1156"/>
      <c r="N98" s="1156"/>
      <c r="O98" s="1156"/>
      <c r="P98" s="1156"/>
      <c r="Q98" s="1157"/>
    </row>
    <row r="99" spans="1:17" s="613" customFormat="1" ht="25" customHeight="1">
      <c r="A99" s="1174" t="s">
        <v>146</v>
      </c>
      <c r="B99" s="1163" t="s">
        <v>149</v>
      </c>
      <c r="C99" s="960"/>
      <c r="D99" s="960"/>
      <c r="E99" s="960"/>
      <c r="F99" s="960"/>
      <c r="G99" s="960"/>
      <c r="H99" s="962">
        <f t="shared" si="13"/>
        <v>0</v>
      </c>
      <c r="I99" s="958"/>
      <c r="J99" s="958"/>
      <c r="K99" s="958"/>
      <c r="L99" s="1156"/>
      <c r="M99" s="1156"/>
      <c r="N99" s="1156"/>
      <c r="O99" s="1156"/>
      <c r="P99" s="1156"/>
      <c r="Q99" s="1157"/>
    </row>
    <row r="100" spans="1:17" s="613" customFormat="1" ht="25" customHeight="1">
      <c r="A100" s="1200" t="s">
        <v>230</v>
      </c>
      <c r="B100" s="1166" t="s">
        <v>152</v>
      </c>
      <c r="C100" s="960"/>
      <c r="D100" s="960"/>
      <c r="E100" s="960"/>
      <c r="F100" s="1149">
        <f t="shared" si="12"/>
        <v>0</v>
      </c>
      <c r="G100" s="960">
        <v>0</v>
      </c>
      <c r="H100" s="962">
        <f t="shared" si="13"/>
        <v>0</v>
      </c>
      <c r="I100" s="1150">
        <f>IF(G100&lt;70, C100*E100*16.5*1, C100*E100*16.5*1.3)</f>
        <v>0</v>
      </c>
      <c r="J100" s="958"/>
      <c r="K100" s="958"/>
      <c r="L100" s="1156"/>
      <c r="M100" s="1156"/>
      <c r="N100" s="1156"/>
      <c r="O100" s="1156"/>
      <c r="P100" s="1156"/>
      <c r="Q100" s="1157"/>
    </row>
    <row r="101" spans="1:17" s="613" customFormat="1" ht="25" customHeight="1">
      <c r="A101" s="1200" t="s">
        <v>231</v>
      </c>
      <c r="B101" s="1166" t="s">
        <v>151</v>
      </c>
      <c r="C101" s="960"/>
      <c r="D101" s="960"/>
      <c r="E101" s="960"/>
      <c r="F101" s="960">
        <v>0</v>
      </c>
      <c r="G101" s="960">
        <v>0</v>
      </c>
      <c r="H101" s="962">
        <f t="shared" si="13"/>
        <v>0</v>
      </c>
      <c r="I101" s="1150">
        <f>IF(G101&lt;70, C101*E101*16.5*1, C101*E101*16.5*1.3)</f>
        <v>0</v>
      </c>
      <c r="J101" s="958"/>
      <c r="K101" s="958"/>
      <c r="L101" s="1156"/>
      <c r="M101" s="1156"/>
      <c r="N101" s="1156"/>
      <c r="O101" s="1156"/>
      <c r="P101" s="1156"/>
      <c r="Q101" s="1157"/>
    </row>
    <row r="102" spans="1:17" s="613" customFormat="1" ht="25" customHeight="1">
      <c r="A102" s="1200" t="s">
        <v>232</v>
      </c>
      <c r="B102" s="1166" t="s">
        <v>153</v>
      </c>
      <c r="C102" s="960"/>
      <c r="D102" s="960"/>
      <c r="E102" s="960"/>
      <c r="F102" s="1201">
        <f>I102</f>
        <v>0</v>
      </c>
      <c r="G102" s="960">
        <v>0</v>
      </c>
      <c r="H102" s="962">
        <f t="shared" si="13"/>
        <v>0</v>
      </c>
      <c r="I102" s="1150">
        <f>IF(G102&lt;70, C102*E102*16.5*1, C102*E102*16.5*1.3)</f>
        <v>0</v>
      </c>
      <c r="J102" s="958"/>
      <c r="K102" s="958"/>
      <c r="L102" s="1156"/>
      <c r="M102" s="1156"/>
      <c r="N102" s="1156"/>
      <c r="O102" s="1156"/>
      <c r="P102" s="1156"/>
      <c r="Q102" s="1157"/>
    </row>
    <row r="103" spans="1:17" s="613" customFormat="1" ht="25" customHeight="1">
      <c r="A103" s="1200" t="s">
        <v>233</v>
      </c>
      <c r="B103" s="1166" t="s">
        <v>154</v>
      </c>
      <c r="C103" s="1202">
        <v>4</v>
      </c>
      <c r="D103" s="1202">
        <v>1.4</v>
      </c>
      <c r="E103" s="1202">
        <v>8</v>
      </c>
      <c r="F103" s="1201">
        <f>I103+J103+K103</f>
        <v>2240</v>
      </c>
      <c r="G103" s="960">
        <v>25</v>
      </c>
      <c r="H103" s="962">
        <f t="shared" si="13"/>
        <v>1120</v>
      </c>
      <c r="I103" s="958">
        <f>H103*2</f>
        <v>2240</v>
      </c>
      <c r="J103" s="958"/>
      <c r="K103" s="958"/>
      <c r="L103" s="1156"/>
      <c r="M103" s="1156"/>
      <c r="N103" s="1156"/>
      <c r="O103" s="1156"/>
      <c r="P103" s="1156"/>
      <c r="Q103" s="1157"/>
    </row>
    <row r="104" spans="1:17" s="613" customFormat="1" ht="25" customHeight="1">
      <c r="A104" s="1200" t="s">
        <v>234</v>
      </c>
      <c r="B104" s="1166" t="s">
        <v>155</v>
      </c>
      <c r="C104" s="960">
        <v>0</v>
      </c>
      <c r="D104" s="960"/>
      <c r="E104" s="960">
        <v>0</v>
      </c>
      <c r="F104" s="1201">
        <f>I104+J104+K104</f>
        <v>0</v>
      </c>
      <c r="G104" s="960">
        <v>0</v>
      </c>
      <c r="H104" s="962">
        <f t="shared" si="13"/>
        <v>0</v>
      </c>
      <c r="I104" s="1150">
        <f>IF(G104&lt;70, C104*E104*16.5*1, C104*E104*16.5*1.3)</f>
        <v>0</v>
      </c>
      <c r="J104" s="958"/>
      <c r="K104" s="958"/>
      <c r="L104" s="1156"/>
      <c r="M104" s="1156"/>
      <c r="N104" s="1156"/>
      <c r="O104" s="1156"/>
      <c r="P104" s="1156"/>
      <c r="Q104" s="1157"/>
    </row>
    <row r="105" spans="1:17" s="613" customFormat="1" ht="25" customHeight="1">
      <c r="A105" s="1203"/>
      <c r="B105" s="1204" t="s">
        <v>375</v>
      </c>
      <c r="C105" s="1169">
        <f t="shared" ref="C105:K105" si="15">SUM(C83:C104)</f>
        <v>59</v>
      </c>
      <c r="D105" s="1169">
        <f t="shared" si="15"/>
        <v>17.32</v>
      </c>
      <c r="E105" s="1169">
        <f t="shared" si="15"/>
        <v>50</v>
      </c>
      <c r="F105" s="1169">
        <f t="shared" si="15"/>
        <v>5053.25</v>
      </c>
      <c r="G105" s="1169">
        <f t="shared" si="15"/>
        <v>970</v>
      </c>
      <c r="H105" s="1169">
        <f t="shared" si="15"/>
        <v>12522.8</v>
      </c>
      <c r="I105" s="1169">
        <f t="shared" si="15"/>
        <v>5053.25</v>
      </c>
      <c r="J105" s="1169">
        <f t="shared" si="15"/>
        <v>0</v>
      </c>
      <c r="K105" s="1169">
        <f t="shared" si="15"/>
        <v>0</v>
      </c>
      <c r="L105" s="1156"/>
      <c r="M105" s="1156"/>
      <c r="N105" s="1156"/>
      <c r="O105" s="1156"/>
      <c r="P105" s="1156"/>
      <c r="Q105" s="1157"/>
    </row>
    <row r="106" spans="1:17" s="613" customFormat="1" ht="25" customHeight="1">
      <c r="A106" s="1196">
        <v>2</v>
      </c>
      <c r="B106" s="1197" t="s">
        <v>494</v>
      </c>
      <c r="C106" s="960"/>
      <c r="D106" s="960"/>
      <c r="E106" s="960"/>
      <c r="F106" s="1150"/>
      <c r="G106" s="960"/>
      <c r="H106" s="962"/>
      <c r="I106" s="962"/>
      <c r="J106" s="958"/>
      <c r="K106" s="958"/>
      <c r="L106" s="1156"/>
      <c r="M106" s="1156"/>
      <c r="N106" s="1156"/>
      <c r="O106" s="1156"/>
      <c r="P106" s="1156"/>
      <c r="Q106" s="1853"/>
    </row>
    <row r="107" spans="1:17" s="613" customFormat="1" ht="25" customHeight="1">
      <c r="A107" s="1198" t="s">
        <v>145</v>
      </c>
      <c r="B107" s="1199" t="s">
        <v>163</v>
      </c>
      <c r="C107" s="960"/>
      <c r="D107" s="960"/>
      <c r="E107" s="960"/>
      <c r="F107" s="1150"/>
      <c r="G107" s="960"/>
      <c r="H107" s="962"/>
      <c r="I107" s="962"/>
      <c r="J107" s="958"/>
      <c r="K107" s="958"/>
      <c r="L107" s="1156"/>
      <c r="M107" s="1156"/>
      <c r="N107" s="1156"/>
      <c r="O107" s="1156"/>
      <c r="P107" s="1156"/>
      <c r="Q107" s="1853"/>
    </row>
    <row r="108" spans="1:17" s="613" customFormat="1" ht="25" customHeight="1">
      <c r="A108" s="1205" t="s">
        <v>224</v>
      </c>
      <c r="B108" s="1206" t="s">
        <v>808</v>
      </c>
      <c r="C108" s="960">
        <v>3</v>
      </c>
      <c r="D108" s="960">
        <v>1</v>
      </c>
      <c r="E108" s="960">
        <v>2</v>
      </c>
      <c r="F108" s="1149">
        <f>(I108+J108+K108)</f>
        <v>69.3</v>
      </c>
      <c r="G108" s="962">
        <v>13</v>
      </c>
      <c r="H108" s="962">
        <f>C108*E108*G108*D108</f>
        <v>78</v>
      </c>
      <c r="I108" s="1150">
        <f>C108*E108*16.5*0.7</f>
        <v>69.3</v>
      </c>
      <c r="J108" s="958"/>
      <c r="K108" s="958"/>
      <c r="L108" s="1207"/>
      <c r="M108" s="1156"/>
      <c r="N108" s="1156"/>
      <c r="O108" s="1156"/>
      <c r="P108" s="1156"/>
      <c r="Q108" s="1853"/>
    </row>
    <row r="109" spans="1:17" s="613" customFormat="1" ht="25" customHeight="1">
      <c r="A109" s="1205" t="s">
        <v>225</v>
      </c>
      <c r="B109" s="1206" t="s">
        <v>809</v>
      </c>
      <c r="C109" s="960">
        <v>3</v>
      </c>
      <c r="D109" s="960">
        <v>1</v>
      </c>
      <c r="E109" s="960">
        <v>2</v>
      </c>
      <c r="F109" s="1149">
        <f t="shared" ref="F109:F114" si="16">(I109+J109+K109)</f>
        <v>69.3</v>
      </c>
      <c r="G109" s="960">
        <v>13</v>
      </c>
      <c r="H109" s="962">
        <f t="shared" ref="H109:H116" si="17">C109*E109*G109*D109</f>
        <v>78</v>
      </c>
      <c r="I109" s="1150">
        <f>C109*E109*16.5*0.7</f>
        <v>69.3</v>
      </c>
      <c r="J109" s="958"/>
      <c r="K109" s="958"/>
      <c r="L109" s="1207"/>
      <c r="M109" s="1156"/>
      <c r="N109" s="1156"/>
      <c r="O109" s="1156"/>
      <c r="P109" s="1156"/>
      <c r="Q109" s="1853"/>
    </row>
    <row r="110" spans="1:17" s="613" customFormat="1" ht="25" customHeight="1">
      <c r="A110" s="1205" t="s">
        <v>226</v>
      </c>
      <c r="B110" s="1206" t="s">
        <v>810</v>
      </c>
      <c r="C110" s="960">
        <v>3</v>
      </c>
      <c r="D110" s="960">
        <v>1</v>
      </c>
      <c r="E110" s="960">
        <v>2</v>
      </c>
      <c r="F110" s="1149">
        <f t="shared" si="16"/>
        <v>69.3</v>
      </c>
      <c r="G110" s="960">
        <v>13</v>
      </c>
      <c r="H110" s="962">
        <f t="shared" si="17"/>
        <v>78</v>
      </c>
      <c r="I110" s="1150">
        <f>C110*E110*16.5*0.7</f>
        <v>69.3</v>
      </c>
      <c r="J110" s="958"/>
      <c r="K110" s="958"/>
      <c r="L110" s="1207"/>
      <c r="M110" s="1156"/>
      <c r="N110" s="1156"/>
      <c r="O110" s="1156"/>
      <c r="P110" s="1156"/>
      <c r="Q110" s="1853"/>
    </row>
    <row r="111" spans="1:17" s="613" customFormat="1" ht="25" customHeight="1">
      <c r="A111" s="1205" t="s">
        <v>227</v>
      </c>
      <c r="B111" s="1206" t="s">
        <v>811</v>
      </c>
      <c r="C111" s="960">
        <v>3</v>
      </c>
      <c r="D111" s="960">
        <v>1</v>
      </c>
      <c r="E111" s="960">
        <v>2</v>
      </c>
      <c r="F111" s="1149">
        <f t="shared" si="16"/>
        <v>69.3</v>
      </c>
      <c r="G111" s="960">
        <v>13</v>
      </c>
      <c r="H111" s="962">
        <f t="shared" si="17"/>
        <v>78</v>
      </c>
      <c r="I111" s="1150">
        <f>C111*E111*16.5*0.7</f>
        <v>69.3</v>
      </c>
      <c r="J111" s="958"/>
      <c r="K111" s="958"/>
      <c r="L111" s="1207"/>
      <c r="M111" s="1156"/>
      <c r="N111" s="1156"/>
      <c r="O111" s="1156"/>
      <c r="P111" s="1156"/>
      <c r="Q111" s="1853"/>
    </row>
    <row r="112" spans="1:17" s="613" customFormat="1" ht="25" customHeight="1">
      <c r="A112" s="1205" t="s">
        <v>228</v>
      </c>
      <c r="B112" s="1166" t="s">
        <v>812</v>
      </c>
      <c r="C112" s="960">
        <v>3</v>
      </c>
      <c r="D112" s="960">
        <v>1</v>
      </c>
      <c r="E112" s="960">
        <v>2</v>
      </c>
      <c r="F112" s="1149">
        <f t="shared" si="16"/>
        <v>69.3</v>
      </c>
      <c r="G112" s="960">
        <v>13</v>
      </c>
      <c r="H112" s="962">
        <f t="shared" si="17"/>
        <v>78</v>
      </c>
      <c r="I112" s="1150">
        <f>C112*E112*16.5*0.7</f>
        <v>69.3</v>
      </c>
      <c r="J112" s="958"/>
      <c r="K112" s="958"/>
      <c r="L112" s="1207"/>
      <c r="M112" s="1156"/>
      <c r="N112" s="1156"/>
      <c r="O112" s="1156"/>
      <c r="P112" s="1156"/>
      <c r="Q112" s="1853"/>
    </row>
    <row r="113" spans="1:17" s="613" customFormat="1" ht="25" customHeight="1">
      <c r="A113" s="1205" t="s">
        <v>229</v>
      </c>
      <c r="B113" s="1177" t="s">
        <v>813</v>
      </c>
      <c r="C113" s="960">
        <v>3</v>
      </c>
      <c r="D113" s="960">
        <v>1</v>
      </c>
      <c r="E113" s="960">
        <v>2</v>
      </c>
      <c r="F113" s="1149">
        <f t="shared" si="16"/>
        <v>69.3</v>
      </c>
      <c r="G113" s="960">
        <v>13</v>
      </c>
      <c r="H113" s="962">
        <f t="shared" si="17"/>
        <v>78</v>
      </c>
      <c r="I113" s="958">
        <v>0</v>
      </c>
      <c r="J113" s="958"/>
      <c r="K113" s="1150">
        <f>C113*E113*16.5*0.7</f>
        <v>69.3</v>
      </c>
      <c r="L113" s="1156"/>
      <c r="M113" s="1156"/>
      <c r="N113" s="1156"/>
      <c r="O113" s="1156"/>
      <c r="P113" s="1156"/>
      <c r="Q113" s="1157"/>
    </row>
    <row r="114" spans="1:17" s="613" customFormat="1" ht="25" customHeight="1">
      <c r="A114" s="1200" t="s">
        <v>280</v>
      </c>
      <c r="B114" s="1177" t="s">
        <v>814</v>
      </c>
      <c r="C114" s="960">
        <v>3</v>
      </c>
      <c r="D114" s="960">
        <v>1</v>
      </c>
      <c r="E114" s="960">
        <v>2</v>
      </c>
      <c r="F114" s="1149">
        <f t="shared" si="16"/>
        <v>69.3</v>
      </c>
      <c r="G114" s="960">
        <v>13</v>
      </c>
      <c r="H114" s="962">
        <f t="shared" si="17"/>
        <v>78</v>
      </c>
      <c r="I114" s="958">
        <v>0</v>
      </c>
      <c r="J114" s="958"/>
      <c r="K114" s="1150">
        <f>C114*E114*16.5*0.7</f>
        <v>69.3</v>
      </c>
      <c r="L114" s="1156"/>
      <c r="M114" s="1156"/>
      <c r="N114" s="1156"/>
      <c r="O114" s="1156"/>
      <c r="P114" s="1156"/>
      <c r="Q114" s="1157"/>
    </row>
    <row r="115" spans="1:17" s="613" customFormat="1" ht="25" customHeight="1">
      <c r="A115" s="1174" t="s">
        <v>146</v>
      </c>
      <c r="B115" s="1163" t="s">
        <v>465</v>
      </c>
      <c r="C115" s="960"/>
      <c r="D115" s="960"/>
      <c r="E115" s="960"/>
      <c r="F115" s="1149"/>
      <c r="G115" s="960"/>
      <c r="H115" s="962">
        <f t="shared" si="17"/>
        <v>0</v>
      </c>
      <c r="I115" s="1150"/>
      <c r="J115" s="1208"/>
      <c r="K115" s="958"/>
      <c r="L115" s="1156"/>
      <c r="M115" s="1156"/>
      <c r="N115" s="1156"/>
      <c r="O115" s="1156"/>
      <c r="P115" s="1156"/>
      <c r="Q115" s="1157"/>
    </row>
    <row r="116" spans="1:17" s="613" customFormat="1" ht="25" customHeight="1">
      <c r="A116" s="1174"/>
      <c r="B116" s="1166" t="s">
        <v>908</v>
      </c>
      <c r="C116" s="960">
        <v>15</v>
      </c>
      <c r="D116" s="960">
        <v>1</v>
      </c>
      <c r="E116" s="960">
        <v>1</v>
      </c>
      <c r="F116" s="1149">
        <f t="shared" ref="F116:F129" si="18">I116+J116+K116</f>
        <v>210</v>
      </c>
      <c r="G116" s="960">
        <v>43</v>
      </c>
      <c r="H116" s="962">
        <f t="shared" si="17"/>
        <v>645</v>
      </c>
      <c r="I116" s="1150">
        <f>6*35</f>
        <v>210</v>
      </c>
      <c r="J116" s="1208"/>
      <c r="K116" s="958"/>
      <c r="L116" s="1156"/>
      <c r="M116" s="1156"/>
      <c r="N116" s="1156"/>
      <c r="O116" s="1156"/>
      <c r="P116" s="1156"/>
      <c r="Q116" s="1157"/>
    </row>
    <row r="117" spans="1:17" s="613" customFormat="1" ht="25" customHeight="1">
      <c r="A117" s="1167"/>
      <c r="B117" s="1168" t="s">
        <v>375</v>
      </c>
      <c r="C117" s="1169">
        <f>SUM(C108:C116)</f>
        <v>36</v>
      </c>
      <c r="D117" s="1169">
        <f t="shared" ref="D117:K117" si="19">SUM(D108:D116)</f>
        <v>8</v>
      </c>
      <c r="E117" s="1169">
        <f t="shared" si="19"/>
        <v>15</v>
      </c>
      <c r="F117" s="1169">
        <f t="shared" si="19"/>
        <v>695.1</v>
      </c>
      <c r="G117" s="1169">
        <f>SUM(G108:G116)</f>
        <v>134</v>
      </c>
      <c r="H117" s="1169">
        <f t="shared" si="19"/>
        <v>1191</v>
      </c>
      <c r="I117" s="1169">
        <f t="shared" si="19"/>
        <v>556.5</v>
      </c>
      <c r="J117" s="1169">
        <f t="shared" si="19"/>
        <v>0</v>
      </c>
      <c r="K117" s="1169">
        <f t="shared" si="19"/>
        <v>138.6</v>
      </c>
      <c r="L117" s="1156"/>
      <c r="M117" s="1156"/>
      <c r="N117" s="1156"/>
      <c r="O117" s="1156"/>
      <c r="P117" s="1156"/>
      <c r="Q117" s="1157"/>
    </row>
    <row r="118" spans="1:17" s="613" customFormat="1" ht="25" customHeight="1">
      <c r="A118" s="1196">
        <v>1</v>
      </c>
      <c r="B118" s="1199" t="s">
        <v>223</v>
      </c>
      <c r="C118" s="960"/>
      <c r="D118" s="960"/>
      <c r="E118" s="960"/>
      <c r="F118" s="1149"/>
      <c r="G118" s="960"/>
      <c r="H118" s="962"/>
      <c r="I118" s="1150"/>
      <c r="J118" s="1156"/>
      <c r="K118" s="1156"/>
      <c r="L118" s="1156"/>
      <c r="M118" s="1156"/>
      <c r="N118" s="1156"/>
      <c r="O118" s="1156"/>
      <c r="P118" s="1156"/>
      <c r="Q118" s="1157"/>
    </row>
    <row r="119" spans="1:17" s="613" customFormat="1" ht="25" customHeight="1">
      <c r="A119" s="1196" t="s">
        <v>376</v>
      </c>
      <c r="B119" s="1199" t="s">
        <v>161</v>
      </c>
      <c r="C119" s="960"/>
      <c r="D119" s="960"/>
      <c r="E119" s="960"/>
      <c r="F119" s="1149"/>
      <c r="G119" s="960"/>
      <c r="H119" s="962"/>
      <c r="I119" s="1150"/>
      <c r="J119" s="1156"/>
      <c r="K119" s="1156"/>
      <c r="L119" s="1156"/>
      <c r="M119" s="1156"/>
      <c r="N119" s="1156"/>
      <c r="O119" s="1156"/>
      <c r="P119" s="1156"/>
      <c r="Q119" s="1157"/>
    </row>
    <row r="120" spans="1:17" s="613" customFormat="1" ht="25" customHeight="1">
      <c r="A120" s="1200" t="s">
        <v>226</v>
      </c>
      <c r="B120" s="1178" t="s">
        <v>893</v>
      </c>
      <c r="C120" s="960">
        <v>3</v>
      </c>
      <c r="D120" s="960">
        <v>1</v>
      </c>
      <c r="E120" s="960">
        <v>12</v>
      </c>
      <c r="F120" s="1149">
        <f t="shared" si="18"/>
        <v>772.2</v>
      </c>
      <c r="G120" s="960">
        <v>70</v>
      </c>
      <c r="H120" s="962">
        <f>C120*E120*G120*D120</f>
        <v>2520</v>
      </c>
      <c r="I120" s="1150">
        <f>IF(G120&lt;70, C120*E120*16.5*1, C120*E120*16.5*1.3)</f>
        <v>772.2</v>
      </c>
      <c r="J120" s="1156"/>
      <c r="K120" s="1156"/>
      <c r="L120" s="1156"/>
      <c r="M120" s="1156"/>
      <c r="N120" s="1156"/>
      <c r="O120" s="1156"/>
      <c r="P120" s="1156"/>
      <c r="Q120" s="1157"/>
    </row>
    <row r="121" spans="1:17" s="613" customFormat="1" ht="25" customHeight="1">
      <c r="A121" s="1200" t="s">
        <v>227</v>
      </c>
      <c r="B121" s="1178" t="s">
        <v>894</v>
      </c>
      <c r="C121" s="960">
        <v>3</v>
      </c>
      <c r="D121" s="960">
        <v>1</v>
      </c>
      <c r="E121" s="960">
        <v>12</v>
      </c>
      <c r="F121" s="1149">
        <f t="shared" si="18"/>
        <v>772.2</v>
      </c>
      <c r="G121" s="960">
        <v>70</v>
      </c>
      <c r="H121" s="962">
        <f t="shared" ref="H121:H129" si="20">C121*E121*G121*D121</f>
        <v>2520</v>
      </c>
      <c r="I121" s="1150">
        <f t="shared" ref="I121:I129" si="21">IF(G121&lt;70, C121*E121*16.5*1, C121*E121*16.5*1.3)</f>
        <v>772.2</v>
      </c>
      <c r="J121" s="1156"/>
      <c r="K121" s="1156"/>
      <c r="L121" s="1156"/>
      <c r="M121" s="1156"/>
      <c r="N121" s="1156"/>
      <c r="O121" s="1156"/>
      <c r="P121" s="1156"/>
      <c r="Q121" s="1157"/>
    </row>
    <row r="122" spans="1:17" s="613" customFormat="1" ht="25" customHeight="1">
      <c r="A122" s="1200" t="s">
        <v>228</v>
      </c>
      <c r="B122" s="1178" t="s">
        <v>895</v>
      </c>
      <c r="C122" s="960">
        <v>2</v>
      </c>
      <c r="D122" s="960">
        <v>1</v>
      </c>
      <c r="E122" s="960">
        <v>15</v>
      </c>
      <c r="F122" s="1149">
        <f t="shared" si="18"/>
        <v>643.5</v>
      </c>
      <c r="G122" s="960">
        <v>70</v>
      </c>
      <c r="H122" s="962">
        <f t="shared" si="20"/>
        <v>2100</v>
      </c>
      <c r="I122" s="1150">
        <f t="shared" si="21"/>
        <v>643.5</v>
      </c>
      <c r="J122" s="1156"/>
      <c r="K122" s="1156"/>
      <c r="L122" s="1156"/>
      <c r="M122" s="1156"/>
      <c r="N122" s="1156"/>
      <c r="O122" s="1156"/>
      <c r="P122" s="1156"/>
      <c r="Q122" s="1157"/>
    </row>
    <row r="123" spans="1:17" s="613" customFormat="1" ht="25" customHeight="1">
      <c r="A123" s="1200" t="s">
        <v>229</v>
      </c>
      <c r="B123" s="1178" t="s">
        <v>896</v>
      </c>
      <c r="C123" s="960">
        <v>3</v>
      </c>
      <c r="D123" s="960">
        <v>1</v>
      </c>
      <c r="E123" s="960">
        <v>15</v>
      </c>
      <c r="F123" s="1149">
        <f t="shared" si="18"/>
        <v>965.25</v>
      </c>
      <c r="G123" s="960">
        <v>70</v>
      </c>
      <c r="H123" s="962">
        <f t="shared" si="20"/>
        <v>3150</v>
      </c>
      <c r="I123" s="1150">
        <f t="shared" si="21"/>
        <v>965.25</v>
      </c>
      <c r="J123" s="1156"/>
      <c r="K123" s="1156"/>
      <c r="L123" s="1156"/>
      <c r="M123" s="1156"/>
      <c r="N123" s="1156"/>
      <c r="O123" s="1156"/>
      <c r="P123" s="1156"/>
      <c r="Q123" s="1157"/>
    </row>
    <row r="124" spans="1:17" s="613" customFormat="1" ht="25" customHeight="1">
      <c r="A124" s="1200" t="s">
        <v>280</v>
      </c>
      <c r="B124" s="1178" t="s">
        <v>897</v>
      </c>
      <c r="C124" s="960">
        <v>2</v>
      </c>
      <c r="D124" s="960">
        <v>1</v>
      </c>
      <c r="E124" s="960">
        <v>15</v>
      </c>
      <c r="F124" s="1149">
        <f t="shared" si="18"/>
        <v>643.5</v>
      </c>
      <c r="G124" s="960">
        <v>80</v>
      </c>
      <c r="H124" s="962">
        <f t="shared" si="20"/>
        <v>2400</v>
      </c>
      <c r="I124" s="1150">
        <f t="shared" si="21"/>
        <v>643.5</v>
      </c>
      <c r="J124" s="1156"/>
      <c r="K124" s="1156"/>
      <c r="L124" s="1156"/>
      <c r="M124" s="1156"/>
      <c r="N124" s="1156"/>
      <c r="O124" s="1156"/>
      <c r="P124" s="1156"/>
      <c r="Q124" s="1157"/>
    </row>
    <row r="125" spans="1:17" s="613" customFormat="1" ht="25" customHeight="1">
      <c r="A125" s="1200" t="s">
        <v>282</v>
      </c>
      <c r="B125" s="1177" t="s">
        <v>898</v>
      </c>
      <c r="C125" s="960">
        <v>3</v>
      </c>
      <c r="D125" s="960">
        <v>1</v>
      </c>
      <c r="E125" s="960">
        <v>15</v>
      </c>
      <c r="F125" s="1149">
        <f t="shared" si="18"/>
        <v>965.25</v>
      </c>
      <c r="G125" s="960">
        <v>70</v>
      </c>
      <c r="H125" s="962">
        <f t="shared" si="20"/>
        <v>3150</v>
      </c>
      <c r="I125" s="1150">
        <f t="shared" si="21"/>
        <v>965.25</v>
      </c>
      <c r="J125" s="1156"/>
      <c r="K125" s="1156"/>
      <c r="L125" s="1156"/>
      <c r="M125" s="1156"/>
      <c r="N125" s="1156"/>
      <c r="O125" s="1156"/>
      <c r="P125" s="1156"/>
      <c r="Q125" s="1157"/>
    </row>
    <row r="126" spans="1:17" s="613" customFormat="1" ht="25" customHeight="1">
      <c r="A126" s="1200" t="s">
        <v>284</v>
      </c>
      <c r="B126" s="1166" t="s">
        <v>899</v>
      </c>
      <c r="C126" s="960">
        <v>3</v>
      </c>
      <c r="D126" s="960">
        <v>1</v>
      </c>
      <c r="E126" s="960">
        <v>15</v>
      </c>
      <c r="F126" s="1149">
        <f t="shared" si="18"/>
        <v>965.25</v>
      </c>
      <c r="G126" s="960">
        <v>70</v>
      </c>
      <c r="H126" s="962">
        <f t="shared" si="20"/>
        <v>3150</v>
      </c>
      <c r="I126" s="1150">
        <f t="shared" si="21"/>
        <v>965.25</v>
      </c>
      <c r="J126" s="1156"/>
      <c r="K126" s="1156"/>
      <c r="L126" s="1156"/>
      <c r="M126" s="1156"/>
      <c r="N126" s="1156"/>
      <c r="O126" s="1156"/>
      <c r="P126" s="1156"/>
      <c r="Q126" s="1157"/>
    </row>
    <row r="127" spans="1:17" s="613" customFormat="1" ht="25" customHeight="1">
      <c r="A127" s="1200" t="s">
        <v>287</v>
      </c>
      <c r="B127" s="1166" t="s">
        <v>900</v>
      </c>
      <c r="C127" s="960">
        <v>4</v>
      </c>
      <c r="D127" s="960">
        <v>1</v>
      </c>
      <c r="E127" s="960">
        <v>10</v>
      </c>
      <c r="F127" s="1149">
        <f t="shared" si="18"/>
        <v>858</v>
      </c>
      <c r="G127" s="960">
        <v>70</v>
      </c>
      <c r="H127" s="962">
        <f t="shared" si="20"/>
        <v>2800</v>
      </c>
      <c r="I127" s="1150">
        <f t="shared" si="21"/>
        <v>858</v>
      </c>
      <c r="J127" s="1156"/>
      <c r="K127" s="1156"/>
      <c r="L127" s="1156"/>
      <c r="M127" s="1156"/>
      <c r="N127" s="1156"/>
      <c r="O127" s="1156"/>
      <c r="P127" s="1156"/>
      <c r="Q127" s="1157"/>
    </row>
    <row r="128" spans="1:17" s="613" customFormat="1" ht="25" customHeight="1">
      <c r="A128" s="1200" t="s">
        <v>288</v>
      </c>
      <c r="B128" s="1166" t="s">
        <v>901</v>
      </c>
      <c r="C128" s="960">
        <v>4</v>
      </c>
      <c r="D128" s="960">
        <v>1</v>
      </c>
      <c r="E128" s="960">
        <v>10</v>
      </c>
      <c r="F128" s="1149">
        <f t="shared" si="18"/>
        <v>858</v>
      </c>
      <c r="G128" s="960">
        <v>70</v>
      </c>
      <c r="H128" s="962">
        <f t="shared" si="20"/>
        <v>2800</v>
      </c>
      <c r="I128" s="1150">
        <f t="shared" si="21"/>
        <v>858</v>
      </c>
      <c r="J128" s="1156"/>
      <c r="K128" s="1156"/>
      <c r="L128" s="1156"/>
      <c r="M128" s="1156"/>
      <c r="N128" s="1156"/>
      <c r="O128" s="1156"/>
      <c r="P128" s="1156"/>
      <c r="Q128" s="1157"/>
    </row>
    <row r="129" spans="1:17" s="613" customFormat="1" ht="25" customHeight="1">
      <c r="A129" s="1200" t="s">
        <v>289</v>
      </c>
      <c r="B129" s="1166" t="s">
        <v>902</v>
      </c>
      <c r="C129" s="960">
        <v>4</v>
      </c>
      <c r="D129" s="960">
        <v>1</v>
      </c>
      <c r="E129" s="960">
        <v>10</v>
      </c>
      <c r="F129" s="1149">
        <f t="shared" si="18"/>
        <v>858</v>
      </c>
      <c r="G129" s="960">
        <v>70</v>
      </c>
      <c r="H129" s="962">
        <f t="shared" si="20"/>
        <v>2800</v>
      </c>
      <c r="I129" s="1150">
        <f t="shared" si="21"/>
        <v>858</v>
      </c>
      <c r="J129" s="1156"/>
      <c r="K129" s="1156"/>
      <c r="L129" s="1156"/>
      <c r="M129" s="1156"/>
      <c r="N129" s="1156"/>
      <c r="O129" s="1156"/>
      <c r="P129" s="1156"/>
      <c r="Q129" s="1157"/>
    </row>
    <row r="130" spans="1:17" s="613" customFormat="1" ht="25" customHeight="1">
      <c r="A130" s="1167"/>
      <c r="B130" s="1209" t="s">
        <v>387</v>
      </c>
      <c r="C130" s="1169">
        <f t="shared" ref="C130:K130" si="22">SUM(C120:C129)</f>
        <v>31</v>
      </c>
      <c r="D130" s="1169">
        <f t="shared" si="22"/>
        <v>10</v>
      </c>
      <c r="E130" s="1169">
        <f t="shared" si="22"/>
        <v>129</v>
      </c>
      <c r="F130" s="1169">
        <f t="shared" si="22"/>
        <v>8301.15</v>
      </c>
      <c r="G130" s="1169">
        <f t="shared" si="22"/>
        <v>710</v>
      </c>
      <c r="H130" s="1169">
        <f t="shared" si="22"/>
        <v>27390</v>
      </c>
      <c r="I130" s="1169">
        <f t="shared" si="22"/>
        <v>8301.15</v>
      </c>
      <c r="J130" s="1169">
        <f t="shared" si="22"/>
        <v>0</v>
      </c>
      <c r="K130" s="1169">
        <f t="shared" si="22"/>
        <v>0</v>
      </c>
      <c r="L130" s="1156"/>
      <c r="M130" s="1156"/>
      <c r="N130" s="1156"/>
      <c r="O130" s="1156"/>
      <c r="P130" s="1156"/>
      <c r="Q130" s="1157"/>
    </row>
    <row r="131" spans="1:17" s="613" customFormat="1" ht="25" customHeight="1">
      <c r="A131" s="1200"/>
      <c r="B131" s="1210" t="s">
        <v>388</v>
      </c>
      <c r="C131" s="1153">
        <f t="shared" ref="C131:K131" si="23">C105+C117+C130</f>
        <v>126</v>
      </c>
      <c r="D131" s="1153">
        <f t="shared" si="23"/>
        <v>35.32</v>
      </c>
      <c r="E131" s="1153">
        <f t="shared" si="23"/>
        <v>194</v>
      </c>
      <c r="F131" s="1153">
        <f t="shared" si="23"/>
        <v>14049.5</v>
      </c>
      <c r="G131" s="1153">
        <f t="shared" si="23"/>
        <v>1814</v>
      </c>
      <c r="H131" s="1153">
        <f t="shared" si="23"/>
        <v>41103.800000000003</v>
      </c>
      <c r="I131" s="1153">
        <f t="shared" si="23"/>
        <v>13910.9</v>
      </c>
      <c r="J131" s="1153">
        <f t="shared" si="23"/>
        <v>0</v>
      </c>
      <c r="K131" s="1153">
        <f t="shared" si="23"/>
        <v>138.6</v>
      </c>
      <c r="L131" s="1193">
        <f>'Bieu3 GDMN'!F25</f>
        <v>2700</v>
      </c>
      <c r="M131" s="1193">
        <f>'Bieu3 GDMN'!N25</f>
        <v>2376</v>
      </c>
      <c r="N131" s="1193">
        <f>I131-M131</f>
        <v>11534.9</v>
      </c>
      <c r="O131" s="1193">
        <f>'Bieu3 GDMN'!O25</f>
        <v>1709.75</v>
      </c>
      <c r="P131" s="1193">
        <f>'Bieu3 GDMN'!P25</f>
        <v>960</v>
      </c>
      <c r="Q131" s="1195" t="s">
        <v>687</v>
      </c>
    </row>
    <row r="132" spans="1:17" s="613" customFormat="1" ht="25" customHeight="1">
      <c r="A132" s="1211" t="s">
        <v>417</v>
      </c>
      <c r="B132" s="1212" t="s">
        <v>418</v>
      </c>
      <c r="C132" s="1213"/>
      <c r="D132" s="1213"/>
      <c r="E132" s="1213"/>
      <c r="F132" s="1214"/>
      <c r="G132" s="1213"/>
      <c r="H132" s="960"/>
      <c r="I132" s="1208"/>
      <c r="J132" s="1156"/>
      <c r="K132" s="1156"/>
      <c r="L132" s="1156"/>
      <c r="M132" s="1156"/>
      <c r="N132" s="1156"/>
      <c r="O132" s="1156"/>
      <c r="P132" s="1156"/>
      <c r="Q132" s="1157"/>
    </row>
    <row r="133" spans="1:17" s="613" customFormat="1" ht="25" customHeight="1">
      <c r="A133" s="1211" t="s">
        <v>6</v>
      </c>
      <c r="B133" s="1215" t="s">
        <v>221</v>
      </c>
      <c r="C133" s="1213"/>
      <c r="D133" s="1213"/>
      <c r="E133" s="1213"/>
      <c r="F133" s="1214"/>
      <c r="G133" s="1213"/>
      <c r="H133" s="960"/>
      <c r="I133" s="1208"/>
      <c r="J133" s="1156"/>
      <c r="K133" s="1156"/>
      <c r="L133" s="1156"/>
      <c r="M133" s="1156"/>
      <c r="N133" s="1156"/>
      <c r="O133" s="1156"/>
      <c r="P133" s="1156"/>
      <c r="Q133" s="1157"/>
    </row>
    <row r="134" spans="1:17" s="613" customFormat="1" ht="25" customHeight="1">
      <c r="A134" s="1211">
        <v>1</v>
      </c>
      <c r="B134" s="1215" t="s">
        <v>4</v>
      </c>
      <c r="C134" s="1213"/>
      <c r="D134" s="1213"/>
      <c r="E134" s="1213"/>
      <c r="F134" s="1214"/>
      <c r="G134" s="1213"/>
      <c r="H134" s="960"/>
      <c r="I134" s="1208"/>
      <c r="J134" s="1156"/>
      <c r="K134" s="1156"/>
      <c r="L134" s="1156"/>
      <c r="M134" s="1156"/>
      <c r="N134" s="1156"/>
      <c r="O134" s="1156"/>
      <c r="P134" s="1156"/>
      <c r="Q134" s="1157"/>
    </row>
    <row r="135" spans="1:17" s="613" customFormat="1" ht="25" customHeight="1">
      <c r="A135" s="1143" t="s">
        <v>145</v>
      </c>
      <c r="B135" s="1144" t="s">
        <v>159</v>
      </c>
      <c r="C135" s="958"/>
      <c r="D135" s="958"/>
      <c r="E135" s="958"/>
      <c r="F135" s="962"/>
      <c r="G135" s="958"/>
      <c r="H135" s="960"/>
      <c r="I135" s="1208"/>
      <c r="J135" s="1156"/>
      <c r="K135" s="1156"/>
      <c r="L135" s="1156"/>
      <c r="M135" s="1156"/>
      <c r="N135" s="1156"/>
      <c r="O135" s="1156"/>
      <c r="P135" s="1156"/>
      <c r="Q135" s="1157"/>
    </row>
    <row r="136" spans="1:17" s="613" customFormat="1" ht="25" customHeight="1">
      <c r="A136" s="1147" t="s">
        <v>224</v>
      </c>
      <c r="B136" s="1178" t="s">
        <v>916</v>
      </c>
      <c r="C136" s="968">
        <v>4</v>
      </c>
      <c r="D136" s="968">
        <v>1</v>
      </c>
      <c r="E136" s="968">
        <v>13</v>
      </c>
      <c r="F136" s="1149">
        <f t="shared" ref="F136:F149" si="24">I136+J136+K136</f>
        <v>1115.4000000000001</v>
      </c>
      <c r="G136" s="968">
        <v>70</v>
      </c>
      <c r="H136" s="962">
        <f>C136*E136*G136*D136</f>
        <v>3640</v>
      </c>
      <c r="I136" s="1150">
        <f>IF(G136&lt;70, C136*E136*16.5*1, C136*E136*16.5*1.3)</f>
        <v>1115.4000000000001</v>
      </c>
      <c r="J136" s="1156"/>
      <c r="K136" s="1156"/>
      <c r="L136" s="1156"/>
      <c r="M136" s="1156"/>
      <c r="N136" s="1156"/>
      <c r="O136" s="1156"/>
      <c r="P136" s="1156"/>
      <c r="Q136" s="1157"/>
    </row>
    <row r="137" spans="1:17" s="613" customFormat="1" ht="25" customHeight="1">
      <c r="A137" s="1147" t="s">
        <v>225</v>
      </c>
      <c r="B137" s="1178" t="s">
        <v>780</v>
      </c>
      <c r="C137" s="960">
        <v>3</v>
      </c>
      <c r="D137" s="960">
        <v>1</v>
      </c>
      <c r="E137" s="960">
        <v>7</v>
      </c>
      <c r="F137" s="1149">
        <f t="shared" si="24"/>
        <v>450.45</v>
      </c>
      <c r="G137" s="960">
        <v>70</v>
      </c>
      <c r="H137" s="962">
        <f t="shared" ref="H137:H149" si="25">C137*E137*G137*D137</f>
        <v>1470</v>
      </c>
      <c r="I137" s="1150">
        <f t="shared" ref="I137:I146" si="26">IF(G137&lt;70, C137*E137*16.5*1, C137*E137*16.5*1.3)</f>
        <v>450.45</v>
      </c>
      <c r="J137" s="1156"/>
      <c r="K137" s="1156"/>
      <c r="L137" s="1156"/>
      <c r="M137" s="1156"/>
      <c r="N137" s="1156"/>
      <c r="O137" s="1156"/>
      <c r="P137" s="1156"/>
      <c r="Q137" s="1157"/>
    </row>
    <row r="138" spans="1:17" s="613" customFormat="1" ht="25" customHeight="1">
      <c r="A138" s="1147" t="s">
        <v>226</v>
      </c>
      <c r="B138" s="1178" t="s">
        <v>917</v>
      </c>
      <c r="C138" s="960">
        <v>5</v>
      </c>
      <c r="D138" s="960">
        <v>1</v>
      </c>
      <c r="E138" s="960">
        <v>6</v>
      </c>
      <c r="F138" s="1149">
        <f t="shared" si="24"/>
        <v>643.5</v>
      </c>
      <c r="G138" s="960">
        <v>70</v>
      </c>
      <c r="H138" s="962">
        <f t="shared" si="25"/>
        <v>2100</v>
      </c>
      <c r="I138" s="1150">
        <f t="shared" si="26"/>
        <v>643.5</v>
      </c>
      <c r="J138" s="1156"/>
      <c r="K138" s="1156"/>
      <c r="L138" s="1156"/>
      <c r="M138" s="1156"/>
      <c r="N138" s="1156"/>
      <c r="O138" s="1156"/>
      <c r="P138" s="1156"/>
      <c r="Q138" s="1157"/>
    </row>
    <row r="139" spans="1:17" s="613" customFormat="1" ht="25" customHeight="1">
      <c r="A139" s="1147" t="s">
        <v>227</v>
      </c>
      <c r="B139" s="1178" t="s">
        <v>918</v>
      </c>
      <c r="C139" s="960">
        <v>2</v>
      </c>
      <c r="D139" s="960">
        <v>1</v>
      </c>
      <c r="E139" s="960">
        <v>1</v>
      </c>
      <c r="F139" s="1149">
        <f t="shared" si="24"/>
        <v>33</v>
      </c>
      <c r="G139" s="960">
        <v>50</v>
      </c>
      <c r="H139" s="962">
        <f t="shared" si="25"/>
        <v>100</v>
      </c>
      <c r="I139" s="1150">
        <f t="shared" si="26"/>
        <v>33</v>
      </c>
      <c r="J139" s="1156"/>
      <c r="K139" s="1156"/>
      <c r="L139" s="1156"/>
      <c r="M139" s="1156"/>
      <c r="N139" s="1156"/>
      <c r="O139" s="1156"/>
      <c r="P139" s="1156"/>
      <c r="Q139" s="1157"/>
    </row>
    <row r="140" spans="1:17" s="613" customFormat="1" ht="25" customHeight="1">
      <c r="A140" s="1147" t="s">
        <v>228</v>
      </c>
      <c r="B140" s="1178" t="s">
        <v>919</v>
      </c>
      <c r="C140" s="960">
        <v>3</v>
      </c>
      <c r="D140" s="960">
        <v>1</v>
      </c>
      <c r="E140" s="960">
        <v>1</v>
      </c>
      <c r="F140" s="1149">
        <f t="shared" si="24"/>
        <v>49.5</v>
      </c>
      <c r="G140" s="960">
        <v>40</v>
      </c>
      <c r="H140" s="962">
        <f t="shared" si="25"/>
        <v>120</v>
      </c>
      <c r="I140" s="1150">
        <f t="shared" si="26"/>
        <v>49.5</v>
      </c>
      <c r="J140" s="1156"/>
      <c r="K140" s="1156"/>
      <c r="L140" s="1156"/>
      <c r="M140" s="1156"/>
      <c r="N140" s="1156"/>
      <c r="O140" s="1156"/>
      <c r="P140" s="1156"/>
      <c r="Q140" s="1157"/>
    </row>
    <row r="141" spans="1:17" s="613" customFormat="1" ht="25" customHeight="1">
      <c r="A141" s="1147" t="s">
        <v>229</v>
      </c>
      <c r="B141" s="1178" t="s">
        <v>920</v>
      </c>
      <c r="C141" s="960">
        <v>2</v>
      </c>
      <c r="D141" s="960">
        <v>1</v>
      </c>
      <c r="E141" s="960">
        <v>1</v>
      </c>
      <c r="F141" s="1149">
        <f t="shared" si="24"/>
        <v>33</v>
      </c>
      <c r="G141" s="960">
        <v>40</v>
      </c>
      <c r="H141" s="962">
        <f t="shared" si="25"/>
        <v>80</v>
      </c>
      <c r="I141" s="1150">
        <f t="shared" si="26"/>
        <v>33</v>
      </c>
      <c r="J141" s="1156"/>
      <c r="K141" s="1156"/>
      <c r="L141" s="1156"/>
      <c r="M141" s="1156"/>
      <c r="N141" s="1156"/>
      <c r="O141" s="1156"/>
      <c r="P141" s="1156"/>
      <c r="Q141" s="1157"/>
    </row>
    <row r="142" spans="1:17" s="613" customFormat="1" ht="25" customHeight="1">
      <c r="A142" s="1147" t="s">
        <v>280</v>
      </c>
      <c r="B142" s="1178" t="s">
        <v>921</v>
      </c>
      <c r="C142" s="960">
        <v>3</v>
      </c>
      <c r="D142" s="960">
        <v>1</v>
      </c>
      <c r="E142" s="960">
        <v>2</v>
      </c>
      <c r="F142" s="1149">
        <f t="shared" si="24"/>
        <v>99</v>
      </c>
      <c r="G142" s="960">
        <v>40</v>
      </c>
      <c r="H142" s="962">
        <f t="shared" si="25"/>
        <v>240</v>
      </c>
      <c r="I142" s="1150">
        <f t="shared" si="26"/>
        <v>99</v>
      </c>
      <c r="J142" s="1156"/>
      <c r="K142" s="1156"/>
      <c r="L142" s="1156"/>
      <c r="M142" s="1156"/>
      <c r="N142" s="1156"/>
      <c r="O142" s="1156"/>
      <c r="P142" s="1156"/>
      <c r="Q142" s="1157"/>
    </row>
    <row r="143" spans="1:17" s="613" customFormat="1" ht="25" customHeight="1">
      <c r="A143" s="1165" t="s">
        <v>281</v>
      </c>
      <c r="B143" s="1178" t="s">
        <v>922</v>
      </c>
      <c r="C143" s="960">
        <v>4</v>
      </c>
      <c r="D143" s="960">
        <v>1</v>
      </c>
      <c r="E143" s="960">
        <v>1</v>
      </c>
      <c r="F143" s="1149">
        <f t="shared" si="24"/>
        <v>66</v>
      </c>
      <c r="G143" s="960">
        <v>40</v>
      </c>
      <c r="H143" s="962">
        <f t="shared" si="25"/>
        <v>160</v>
      </c>
      <c r="I143" s="1150">
        <f t="shared" si="26"/>
        <v>66</v>
      </c>
      <c r="J143" s="1156"/>
      <c r="K143" s="1156"/>
      <c r="L143" s="1156"/>
      <c r="M143" s="1156"/>
      <c r="N143" s="1156"/>
      <c r="O143" s="1156"/>
      <c r="P143" s="1156"/>
      <c r="Q143" s="1157"/>
    </row>
    <row r="144" spans="1:17" s="613" customFormat="1" ht="25" customHeight="1">
      <c r="A144" s="1165" t="s">
        <v>282</v>
      </c>
      <c r="B144" s="1178" t="s">
        <v>923</v>
      </c>
      <c r="C144" s="960">
        <v>2</v>
      </c>
      <c r="D144" s="960">
        <v>1</v>
      </c>
      <c r="E144" s="960">
        <v>1</v>
      </c>
      <c r="F144" s="1149">
        <f t="shared" si="24"/>
        <v>42.9</v>
      </c>
      <c r="G144" s="960">
        <v>80</v>
      </c>
      <c r="H144" s="962">
        <f t="shared" si="25"/>
        <v>160</v>
      </c>
      <c r="I144" s="1150">
        <f t="shared" si="26"/>
        <v>42.9</v>
      </c>
      <c r="J144" s="1156"/>
      <c r="K144" s="1156"/>
      <c r="L144" s="1156"/>
      <c r="M144" s="1156"/>
      <c r="N144" s="1156"/>
      <c r="O144" s="1156"/>
      <c r="P144" s="1156"/>
      <c r="Q144" s="1157"/>
    </row>
    <row r="145" spans="1:17" s="613" customFormat="1" ht="25" customHeight="1">
      <c r="A145" s="1165" t="s">
        <v>283</v>
      </c>
      <c r="B145" s="1178" t="s">
        <v>924</v>
      </c>
      <c r="C145" s="960">
        <v>2</v>
      </c>
      <c r="D145" s="960">
        <v>1</v>
      </c>
      <c r="E145" s="960">
        <v>1</v>
      </c>
      <c r="F145" s="1149">
        <f t="shared" si="24"/>
        <v>42.9</v>
      </c>
      <c r="G145" s="960">
        <v>80</v>
      </c>
      <c r="H145" s="962">
        <f t="shared" si="25"/>
        <v>160</v>
      </c>
      <c r="I145" s="1150">
        <f t="shared" si="26"/>
        <v>42.9</v>
      </c>
      <c r="J145" s="1156"/>
      <c r="K145" s="1156"/>
      <c r="L145" s="1156"/>
      <c r="M145" s="1156"/>
      <c r="N145" s="1156"/>
      <c r="O145" s="1156"/>
      <c r="P145" s="1156"/>
      <c r="Q145" s="1157"/>
    </row>
    <row r="146" spans="1:17" s="613" customFormat="1" ht="25" customHeight="1">
      <c r="A146" s="1216" t="s">
        <v>287</v>
      </c>
      <c r="B146" s="1172" t="s">
        <v>781</v>
      </c>
      <c r="C146" s="962">
        <v>2</v>
      </c>
      <c r="D146" s="962">
        <v>1</v>
      </c>
      <c r="E146" s="962">
        <v>1</v>
      </c>
      <c r="F146" s="1149">
        <f t="shared" si="24"/>
        <v>42.9</v>
      </c>
      <c r="G146" s="962">
        <v>80</v>
      </c>
      <c r="H146" s="962">
        <f t="shared" si="25"/>
        <v>160</v>
      </c>
      <c r="I146" s="1150">
        <f t="shared" si="26"/>
        <v>42.9</v>
      </c>
      <c r="J146" s="1156"/>
      <c r="K146" s="1156"/>
      <c r="L146" s="1156"/>
      <c r="M146" s="1156"/>
      <c r="N146" s="1156"/>
      <c r="O146" s="1156"/>
      <c r="P146" s="1156"/>
      <c r="Q146" s="1157"/>
    </row>
    <row r="147" spans="1:17" s="613" customFormat="1" ht="25" customHeight="1">
      <c r="A147" s="1216" t="s">
        <v>146</v>
      </c>
      <c r="B147" s="1172"/>
      <c r="C147" s="962"/>
      <c r="D147" s="962"/>
      <c r="E147" s="962"/>
      <c r="F147" s="1149">
        <f t="shared" si="24"/>
        <v>0</v>
      </c>
      <c r="G147" s="962"/>
      <c r="H147" s="962">
        <f t="shared" si="25"/>
        <v>0</v>
      </c>
      <c r="I147" s="1150">
        <f>IF(G147&lt;70, C147*E147*16.5*1, C147*E147*16.5*1.3)</f>
        <v>0</v>
      </c>
      <c r="J147" s="1156"/>
      <c r="K147" s="1156"/>
      <c r="L147" s="1156"/>
      <c r="M147" s="1156"/>
      <c r="N147" s="1156"/>
      <c r="O147" s="1156"/>
      <c r="P147" s="1156"/>
      <c r="Q147" s="1157"/>
    </row>
    <row r="148" spans="1:17" s="613" customFormat="1" ht="25" customHeight="1">
      <c r="A148" s="1165" t="s">
        <v>230</v>
      </c>
      <c r="B148" s="1178" t="s">
        <v>925</v>
      </c>
      <c r="C148" s="960">
        <v>1</v>
      </c>
      <c r="D148" s="960">
        <v>1.4</v>
      </c>
      <c r="E148" s="960">
        <v>6</v>
      </c>
      <c r="F148" s="1149">
        <f t="shared" si="24"/>
        <v>99</v>
      </c>
      <c r="G148" s="962">
        <v>35</v>
      </c>
      <c r="H148" s="962">
        <f t="shared" si="25"/>
        <v>294</v>
      </c>
      <c r="I148" s="1150">
        <f>IF(G148&lt;70, C148*E148*16.5*1, C148*E148*16.5*1.3)</f>
        <v>99</v>
      </c>
      <c r="J148" s="1156"/>
      <c r="K148" s="1156"/>
      <c r="L148" s="1156"/>
      <c r="M148" s="1156"/>
      <c r="N148" s="1156"/>
      <c r="O148" s="1156"/>
      <c r="P148" s="1156"/>
      <c r="Q148" s="1157"/>
    </row>
    <row r="149" spans="1:17" s="613" customFormat="1" ht="25" customHeight="1">
      <c r="A149" s="1165" t="s">
        <v>231</v>
      </c>
      <c r="B149" s="1056" t="s">
        <v>926</v>
      </c>
      <c r="C149" s="960">
        <v>1</v>
      </c>
      <c r="D149" s="960">
        <v>1.4</v>
      </c>
      <c r="E149" s="960">
        <v>14</v>
      </c>
      <c r="F149" s="1149">
        <f t="shared" si="24"/>
        <v>231</v>
      </c>
      <c r="G149" s="962">
        <v>20</v>
      </c>
      <c r="H149" s="962">
        <f t="shared" si="25"/>
        <v>392</v>
      </c>
      <c r="I149" s="1150">
        <f>IF(G149&lt;70, C149*E149*16.5*1, C149*E149*16.5*1.3)</f>
        <v>231</v>
      </c>
      <c r="J149" s="1156"/>
      <c r="K149" s="1156"/>
      <c r="L149" s="1156"/>
      <c r="M149" s="1156"/>
      <c r="N149" s="1156"/>
      <c r="O149" s="1156"/>
      <c r="P149" s="1156"/>
      <c r="Q149" s="1157"/>
    </row>
    <row r="150" spans="1:17" s="613" customFormat="1" ht="25" customHeight="1">
      <c r="A150" s="1165" t="s">
        <v>232</v>
      </c>
      <c r="B150" s="1217" t="s">
        <v>153</v>
      </c>
      <c r="C150" s="962"/>
      <c r="D150" s="962"/>
      <c r="E150" s="962"/>
      <c r="F150" s="1149"/>
      <c r="G150" s="962"/>
      <c r="H150" s="962"/>
      <c r="I150" s="1150"/>
      <c r="J150" s="1156"/>
      <c r="K150" s="1156"/>
      <c r="L150" s="1156"/>
      <c r="M150" s="1156"/>
      <c r="N150" s="1156"/>
      <c r="O150" s="1156"/>
      <c r="P150" s="1156"/>
      <c r="Q150" s="1157"/>
    </row>
    <row r="151" spans="1:17" s="613" customFormat="1" ht="25" customHeight="1">
      <c r="A151" s="1165" t="s">
        <v>233</v>
      </c>
      <c r="B151" s="1217" t="s">
        <v>154</v>
      </c>
      <c r="C151" s="962"/>
      <c r="D151" s="962"/>
      <c r="E151" s="962"/>
      <c r="F151" s="1149"/>
      <c r="G151" s="962"/>
      <c r="H151" s="962"/>
      <c r="I151" s="1150"/>
      <c r="J151" s="1156"/>
      <c r="K151" s="1156"/>
      <c r="L151" s="1156"/>
      <c r="M151" s="1156"/>
      <c r="N151" s="1156"/>
      <c r="O151" s="1156"/>
      <c r="P151" s="1156"/>
      <c r="Q151" s="1157"/>
    </row>
    <row r="152" spans="1:17" s="613" customFormat="1" ht="25" customHeight="1">
      <c r="A152" s="1165" t="s">
        <v>234</v>
      </c>
      <c r="B152" s="1217" t="s">
        <v>155</v>
      </c>
      <c r="C152" s="962"/>
      <c r="D152" s="962"/>
      <c r="E152" s="962"/>
      <c r="F152" s="1149"/>
      <c r="G152" s="962"/>
      <c r="H152" s="962"/>
      <c r="I152" s="1150"/>
      <c r="J152" s="1156"/>
      <c r="K152" s="1156"/>
      <c r="L152" s="1156"/>
      <c r="M152" s="1156"/>
      <c r="N152" s="1156"/>
      <c r="O152" s="1156"/>
      <c r="P152" s="1156"/>
      <c r="Q152" s="1157"/>
    </row>
    <row r="153" spans="1:17" s="613" customFormat="1" ht="25" customHeight="1">
      <c r="A153" s="1167"/>
      <c r="B153" s="1168" t="s">
        <v>375</v>
      </c>
      <c r="C153" s="1169">
        <f t="shared" ref="C153:K153" si="27">SUM(C136:C152)</f>
        <v>34</v>
      </c>
      <c r="D153" s="1169">
        <f t="shared" si="27"/>
        <v>13.8</v>
      </c>
      <c r="E153" s="1169">
        <f t="shared" si="27"/>
        <v>55</v>
      </c>
      <c r="F153" s="1169">
        <f t="shared" si="27"/>
        <v>2948.5500000000006</v>
      </c>
      <c r="G153" s="1169">
        <f t="shared" si="27"/>
        <v>715</v>
      </c>
      <c r="H153" s="1169">
        <f t="shared" si="27"/>
        <v>9076</v>
      </c>
      <c r="I153" s="1169">
        <f t="shared" si="27"/>
        <v>2948.5500000000006</v>
      </c>
      <c r="J153" s="1169">
        <f t="shared" si="27"/>
        <v>0</v>
      </c>
      <c r="K153" s="1169">
        <f t="shared" si="27"/>
        <v>0</v>
      </c>
      <c r="L153" s="1156"/>
      <c r="M153" s="1156"/>
      <c r="N153" s="1156"/>
      <c r="O153" s="1156"/>
      <c r="P153" s="1156"/>
      <c r="Q153" s="1157"/>
    </row>
    <row r="154" spans="1:17" s="613" customFormat="1" ht="25" customHeight="1">
      <c r="A154" s="1211">
        <v>2</v>
      </c>
      <c r="B154" s="1215" t="s">
        <v>162</v>
      </c>
      <c r="C154" s="962"/>
      <c r="D154" s="962"/>
      <c r="E154" s="962"/>
      <c r="F154" s="1149"/>
      <c r="G154" s="962"/>
      <c r="H154" s="962"/>
      <c r="I154" s="1150"/>
      <c r="J154" s="1156"/>
      <c r="K154" s="1156"/>
      <c r="L154" s="1156"/>
      <c r="M154" s="1156"/>
      <c r="N154" s="1156"/>
      <c r="O154" s="1156"/>
      <c r="P154" s="1156"/>
      <c r="Q154" s="1157"/>
    </row>
    <row r="155" spans="1:17" s="613" customFormat="1" ht="25" customHeight="1">
      <c r="A155" s="1143" t="s">
        <v>145</v>
      </c>
      <c r="B155" s="1144" t="s">
        <v>163</v>
      </c>
      <c r="C155" s="962"/>
      <c r="D155" s="962"/>
      <c r="E155" s="962"/>
      <c r="F155" s="1149"/>
      <c r="G155" s="962"/>
      <c r="H155" s="962"/>
      <c r="I155" s="1150"/>
      <c r="J155" s="1156"/>
      <c r="K155" s="1156"/>
      <c r="L155" s="1156"/>
      <c r="M155" s="1156"/>
      <c r="N155" s="1156"/>
      <c r="O155" s="1156"/>
      <c r="P155" s="1156"/>
      <c r="Q155" s="1157"/>
    </row>
    <row r="156" spans="1:17" s="613" customFormat="1" ht="25" customHeight="1">
      <c r="A156" s="1147" t="s">
        <v>224</v>
      </c>
      <c r="B156" s="1172" t="s">
        <v>410</v>
      </c>
      <c r="C156" s="962">
        <v>3</v>
      </c>
      <c r="D156" s="1218">
        <v>1</v>
      </c>
      <c r="E156" s="962">
        <v>6</v>
      </c>
      <c r="F156" s="960">
        <f>(I156+J156+K156)</f>
        <v>207.89999999999998</v>
      </c>
      <c r="G156" s="962">
        <v>15</v>
      </c>
      <c r="H156" s="962">
        <f>C156*E156*G156*D156</f>
        <v>270</v>
      </c>
      <c r="I156" s="1150">
        <f>C156*E156*16.5*0.7</f>
        <v>207.89999999999998</v>
      </c>
      <c r="J156" s="1156"/>
      <c r="K156" s="1156"/>
      <c r="L156" s="1156"/>
      <c r="M156" s="1156"/>
      <c r="N156" s="1156"/>
      <c r="O156" s="1156"/>
      <c r="P156" s="1156"/>
      <c r="Q156" s="1157"/>
    </row>
    <row r="157" spans="1:17" s="613" customFormat="1" ht="25" customHeight="1">
      <c r="A157" s="1147" t="s">
        <v>225</v>
      </c>
      <c r="B157" s="1172" t="s">
        <v>411</v>
      </c>
      <c r="C157" s="962">
        <v>3</v>
      </c>
      <c r="D157" s="1218">
        <v>1</v>
      </c>
      <c r="E157" s="962">
        <v>2</v>
      </c>
      <c r="F157" s="960">
        <f t="shared" ref="F157:F161" si="28">(I157+J157+K157)</f>
        <v>69.3</v>
      </c>
      <c r="G157" s="962">
        <v>10</v>
      </c>
      <c r="H157" s="962">
        <f t="shared" ref="H157:H162" si="29">C157*E157*G157*D157</f>
        <v>60</v>
      </c>
      <c r="I157" s="1150">
        <f t="shared" ref="I157:I162" si="30">C157*E157*16.5*0.7</f>
        <v>69.3</v>
      </c>
      <c r="J157" s="1156"/>
      <c r="K157" s="1156"/>
      <c r="L157" s="1156"/>
      <c r="M157" s="1156"/>
      <c r="N157" s="1156"/>
      <c r="O157" s="1156"/>
      <c r="P157" s="1156"/>
      <c r="Q157" s="1157"/>
    </row>
    <row r="158" spans="1:17" s="613" customFormat="1" ht="25" customHeight="1">
      <c r="A158" s="1147" t="s">
        <v>226</v>
      </c>
      <c r="B158" s="1178" t="s">
        <v>412</v>
      </c>
      <c r="C158" s="962">
        <v>3</v>
      </c>
      <c r="D158" s="1218">
        <v>1</v>
      </c>
      <c r="E158" s="962">
        <v>2</v>
      </c>
      <c r="F158" s="960">
        <f t="shared" si="28"/>
        <v>69.3</v>
      </c>
      <c r="G158" s="962">
        <v>10</v>
      </c>
      <c r="H158" s="962">
        <f t="shared" si="29"/>
        <v>60</v>
      </c>
      <c r="I158" s="1150">
        <f t="shared" si="30"/>
        <v>69.3</v>
      </c>
      <c r="J158" s="1156"/>
      <c r="K158" s="1156"/>
      <c r="L158" s="1156"/>
      <c r="M158" s="1156"/>
      <c r="N158" s="1156"/>
      <c r="O158" s="1156"/>
      <c r="P158" s="1156"/>
      <c r="Q158" s="1157"/>
    </row>
    <row r="159" spans="1:17" s="613" customFormat="1" ht="25" customHeight="1">
      <c r="A159" s="1147" t="s">
        <v>227</v>
      </c>
      <c r="B159" s="1172" t="s">
        <v>413</v>
      </c>
      <c r="C159" s="962">
        <v>3</v>
      </c>
      <c r="D159" s="1218">
        <v>1</v>
      </c>
      <c r="E159" s="962">
        <v>1</v>
      </c>
      <c r="F159" s="960">
        <f t="shared" si="28"/>
        <v>34.65</v>
      </c>
      <c r="G159" s="962">
        <v>10</v>
      </c>
      <c r="H159" s="962">
        <f t="shared" si="29"/>
        <v>30</v>
      </c>
      <c r="I159" s="1150">
        <f t="shared" si="30"/>
        <v>34.65</v>
      </c>
      <c r="J159" s="1156"/>
      <c r="K159" s="1156"/>
      <c r="L159" s="1156"/>
      <c r="M159" s="1156"/>
      <c r="N159" s="1156"/>
      <c r="O159" s="1156"/>
      <c r="P159" s="1156"/>
      <c r="Q159" s="1157"/>
    </row>
    <row r="160" spans="1:17" s="613" customFormat="1" ht="25" customHeight="1">
      <c r="A160" s="1147" t="s">
        <v>228</v>
      </c>
      <c r="B160" s="1173" t="s">
        <v>414</v>
      </c>
      <c r="C160" s="962">
        <v>3</v>
      </c>
      <c r="D160" s="1218">
        <v>1</v>
      </c>
      <c r="E160" s="962">
        <v>6</v>
      </c>
      <c r="F160" s="960">
        <f t="shared" si="28"/>
        <v>207.89999999999998</v>
      </c>
      <c r="G160" s="962">
        <v>15</v>
      </c>
      <c r="H160" s="962">
        <f t="shared" si="29"/>
        <v>270</v>
      </c>
      <c r="I160" s="1150">
        <f t="shared" si="30"/>
        <v>207.89999999999998</v>
      </c>
      <c r="J160" s="1156"/>
      <c r="K160" s="1156"/>
      <c r="L160" s="1156"/>
      <c r="M160" s="1156"/>
      <c r="N160" s="1156"/>
      <c r="O160" s="1156"/>
      <c r="P160" s="1156"/>
      <c r="Q160" s="1157"/>
    </row>
    <row r="161" spans="1:17" s="613" customFormat="1" ht="25" customHeight="1">
      <c r="A161" s="1147" t="s">
        <v>229</v>
      </c>
      <c r="B161" s="1173" t="s">
        <v>415</v>
      </c>
      <c r="C161" s="962">
        <v>3</v>
      </c>
      <c r="D161" s="1218">
        <v>1</v>
      </c>
      <c r="E161" s="962">
        <v>1</v>
      </c>
      <c r="F161" s="960">
        <f t="shared" si="28"/>
        <v>34.65</v>
      </c>
      <c r="G161" s="962">
        <v>10</v>
      </c>
      <c r="H161" s="962">
        <f t="shared" si="29"/>
        <v>30</v>
      </c>
      <c r="I161" s="1150">
        <f t="shared" si="30"/>
        <v>34.65</v>
      </c>
      <c r="J161" s="1156"/>
      <c r="K161" s="1156"/>
      <c r="L161" s="1156"/>
      <c r="M161" s="1156"/>
      <c r="N161" s="1156"/>
      <c r="O161" s="1156"/>
      <c r="P161" s="1156"/>
      <c r="Q161" s="1157"/>
    </row>
    <row r="162" spans="1:17" s="613" customFormat="1" ht="25" customHeight="1">
      <c r="A162" s="1147" t="s">
        <v>280</v>
      </c>
      <c r="B162" s="1173" t="s">
        <v>416</v>
      </c>
      <c r="C162" s="962">
        <v>3</v>
      </c>
      <c r="D162" s="1218">
        <v>1</v>
      </c>
      <c r="E162" s="962">
        <v>6</v>
      </c>
      <c r="F162" s="960">
        <f>(I162+J162+K162)</f>
        <v>207.89999999999998</v>
      </c>
      <c r="G162" s="962">
        <v>15</v>
      </c>
      <c r="H162" s="962">
        <f t="shared" si="29"/>
        <v>270</v>
      </c>
      <c r="I162" s="1150">
        <f t="shared" si="30"/>
        <v>207.89999999999998</v>
      </c>
      <c r="J162" s="1156"/>
      <c r="K162" s="1156"/>
      <c r="L162" s="1156"/>
      <c r="M162" s="1156"/>
      <c r="N162" s="1156"/>
      <c r="O162" s="1156"/>
      <c r="P162" s="1156"/>
      <c r="Q162" s="1157"/>
    </row>
    <row r="163" spans="1:17" s="613" customFormat="1" ht="25" customHeight="1">
      <c r="A163" s="1167"/>
      <c r="B163" s="1209" t="s">
        <v>375</v>
      </c>
      <c r="C163" s="1169">
        <f>SUM(C156:C162)</f>
        <v>21</v>
      </c>
      <c r="D163" s="1169">
        <f t="shared" ref="D163:K163" si="31">SUM(D156:D162)</f>
        <v>7</v>
      </c>
      <c r="E163" s="1169">
        <f t="shared" si="31"/>
        <v>24</v>
      </c>
      <c r="F163" s="1169">
        <f>SUM(F156:F162)</f>
        <v>831.59999999999991</v>
      </c>
      <c r="G163" s="1169">
        <f t="shared" si="31"/>
        <v>85</v>
      </c>
      <c r="H163" s="1169">
        <f t="shared" si="31"/>
        <v>990</v>
      </c>
      <c r="I163" s="1169">
        <f t="shared" si="31"/>
        <v>831.59999999999991</v>
      </c>
      <c r="J163" s="1169">
        <f t="shared" si="31"/>
        <v>0</v>
      </c>
      <c r="K163" s="1169">
        <f t="shared" si="31"/>
        <v>0</v>
      </c>
      <c r="L163" s="1156"/>
      <c r="M163" s="1156"/>
      <c r="N163" s="1156"/>
      <c r="O163" s="1156"/>
      <c r="P163" s="1156"/>
      <c r="Q163" s="1157"/>
    </row>
    <row r="164" spans="1:17" s="613" customFormat="1" ht="25" customHeight="1">
      <c r="A164" s="1211" t="s">
        <v>7</v>
      </c>
      <c r="B164" s="1215" t="s">
        <v>222</v>
      </c>
      <c r="C164" s="962"/>
      <c r="D164" s="962"/>
      <c r="E164" s="962"/>
      <c r="F164" s="1149"/>
      <c r="G164" s="962"/>
      <c r="H164" s="962"/>
      <c r="I164" s="1150"/>
      <c r="J164" s="1156"/>
      <c r="K164" s="1156"/>
      <c r="L164" s="1156"/>
      <c r="M164" s="1156"/>
      <c r="N164" s="1156"/>
      <c r="O164" s="1156"/>
      <c r="P164" s="1156"/>
      <c r="Q164" s="1157"/>
    </row>
    <row r="165" spans="1:17" s="613" customFormat="1" ht="25" customHeight="1">
      <c r="A165" s="1211">
        <v>1</v>
      </c>
      <c r="B165" s="1144" t="s">
        <v>223</v>
      </c>
      <c r="C165" s="962"/>
      <c r="D165" s="962"/>
      <c r="E165" s="962"/>
      <c r="F165" s="1149"/>
      <c r="G165" s="962"/>
      <c r="H165" s="962"/>
      <c r="I165" s="1150"/>
      <c r="J165" s="1156"/>
      <c r="K165" s="1156"/>
      <c r="L165" s="1156"/>
      <c r="M165" s="1156"/>
      <c r="N165" s="1156"/>
      <c r="O165" s="1156"/>
      <c r="P165" s="1156"/>
      <c r="Q165" s="1157"/>
    </row>
    <row r="166" spans="1:17" s="613" customFormat="1" ht="25" customHeight="1">
      <c r="A166" s="1211" t="s">
        <v>145</v>
      </c>
      <c r="B166" s="1144" t="s">
        <v>161</v>
      </c>
      <c r="C166" s="962"/>
      <c r="D166" s="962"/>
      <c r="E166" s="962"/>
      <c r="F166" s="960"/>
      <c r="G166" s="962"/>
      <c r="H166" s="965"/>
      <c r="I166" s="965"/>
      <c r="J166" s="1156"/>
      <c r="K166" s="1156"/>
      <c r="L166" s="1156"/>
      <c r="M166" s="1156"/>
      <c r="N166" s="1156"/>
      <c r="O166" s="1156"/>
      <c r="P166" s="1156"/>
      <c r="Q166" s="1157"/>
    </row>
    <row r="167" spans="1:17" s="613" customFormat="1" ht="25" customHeight="1">
      <c r="A167" s="1165" t="s">
        <v>224</v>
      </c>
      <c r="B167" s="1178" t="s">
        <v>927</v>
      </c>
      <c r="C167" s="960">
        <v>5</v>
      </c>
      <c r="D167" s="960">
        <v>1</v>
      </c>
      <c r="E167" s="960">
        <v>10</v>
      </c>
      <c r="F167" s="960">
        <f>I167+J167+K167</f>
        <v>1237.5</v>
      </c>
      <c r="G167" s="962">
        <v>40</v>
      </c>
      <c r="H167" s="962">
        <f>C167*E167*G167</f>
        <v>2000</v>
      </c>
      <c r="I167" s="1150">
        <f>IF(G167&lt;70, C167*E167*16.5*1.5, C167*E167*16.5*1.3*1.5)</f>
        <v>1237.5</v>
      </c>
      <c r="J167" s="1156"/>
      <c r="K167" s="1156"/>
      <c r="L167" s="1156"/>
      <c r="M167" s="1156"/>
      <c r="N167" s="1156"/>
      <c r="O167" s="1156"/>
      <c r="P167" s="1156"/>
      <c r="Q167" s="1157"/>
    </row>
    <row r="168" spans="1:17" s="613" customFormat="1" ht="25" customHeight="1">
      <c r="A168" s="1165" t="s">
        <v>225</v>
      </c>
      <c r="B168" s="1178" t="s">
        <v>928</v>
      </c>
      <c r="C168" s="960">
        <v>5</v>
      </c>
      <c r="D168" s="960">
        <v>1</v>
      </c>
      <c r="E168" s="960">
        <v>10</v>
      </c>
      <c r="F168" s="960">
        <f>I168+J168+K168</f>
        <v>1237.5</v>
      </c>
      <c r="G168" s="962">
        <v>40</v>
      </c>
      <c r="H168" s="962">
        <f>C168*E168*G168</f>
        <v>2000</v>
      </c>
      <c r="I168" s="1150">
        <f>IF(G168&lt;70, C168*E168*16.5*1.5, C168*E168*16.5*1.3*1.5)</f>
        <v>1237.5</v>
      </c>
      <c r="J168" s="1156"/>
      <c r="K168" s="1156"/>
      <c r="L168" s="1156"/>
      <c r="M168" s="1156"/>
      <c r="N168" s="1156"/>
      <c r="O168" s="1156"/>
      <c r="P168" s="1156"/>
      <c r="Q168" s="1157"/>
    </row>
    <row r="169" spans="1:17" s="613" customFormat="1" ht="25" customHeight="1">
      <c r="A169" s="1167"/>
      <c r="B169" s="1168" t="s">
        <v>375</v>
      </c>
      <c r="C169" s="1169">
        <f>SUM(C167:C168)</f>
        <v>10</v>
      </c>
      <c r="D169" s="1169">
        <f t="shared" ref="D169:K169" si="32">SUM(D167:D168)</f>
        <v>2</v>
      </c>
      <c r="E169" s="1169">
        <f t="shared" si="32"/>
        <v>20</v>
      </c>
      <c r="F169" s="1169">
        <f t="shared" si="32"/>
        <v>2475</v>
      </c>
      <c r="G169" s="1169">
        <f t="shared" si="32"/>
        <v>80</v>
      </c>
      <c r="H169" s="1169">
        <f t="shared" si="32"/>
        <v>4000</v>
      </c>
      <c r="I169" s="1169">
        <f t="shared" si="32"/>
        <v>2475</v>
      </c>
      <c r="J169" s="1169">
        <f t="shared" si="32"/>
        <v>0</v>
      </c>
      <c r="K169" s="1169">
        <f t="shared" si="32"/>
        <v>0</v>
      </c>
      <c r="L169" s="1156"/>
      <c r="M169" s="1156"/>
      <c r="N169" s="1156"/>
      <c r="O169" s="1156"/>
      <c r="P169" s="1156"/>
      <c r="Q169" s="1157"/>
    </row>
    <row r="170" spans="1:17" s="613" customFormat="1" ht="25" customHeight="1">
      <c r="A170" s="1219"/>
      <c r="B170" s="1210" t="s">
        <v>419</v>
      </c>
      <c r="C170" s="1153">
        <f>C153+C163+C169</f>
        <v>65</v>
      </c>
      <c r="D170" s="1153">
        <f t="shared" ref="D170:K170" si="33">D153+D163+D169</f>
        <v>22.8</v>
      </c>
      <c r="E170" s="1153">
        <f t="shared" si="33"/>
        <v>99</v>
      </c>
      <c r="F170" s="1153">
        <f t="shared" si="33"/>
        <v>6255.1500000000005</v>
      </c>
      <c r="G170" s="1153">
        <f t="shared" si="33"/>
        <v>880</v>
      </c>
      <c r="H170" s="1153">
        <f t="shared" si="33"/>
        <v>14066</v>
      </c>
      <c r="I170" s="1153">
        <f t="shared" si="33"/>
        <v>6255.1500000000005</v>
      </c>
      <c r="J170" s="1153">
        <f t="shared" si="33"/>
        <v>0</v>
      </c>
      <c r="K170" s="1153">
        <f t="shared" si="33"/>
        <v>0</v>
      </c>
      <c r="L170" s="1192">
        <f>'Bieu3 TLH'!F22</f>
        <v>1620</v>
      </c>
      <c r="M170" s="1192">
        <f>'Bieu3 TLH'!N22</f>
        <v>1498.5</v>
      </c>
      <c r="N170" s="1192">
        <f>I170-M170</f>
        <v>4756.6500000000005</v>
      </c>
      <c r="O170" s="1192">
        <f>'Bieu3 TLH'!O22</f>
        <v>1163.25</v>
      </c>
      <c r="P170" s="1192">
        <f>'Bieu3 TLH'!P22</f>
        <v>590</v>
      </c>
      <c r="Q170" s="1220" t="s">
        <v>688</v>
      </c>
    </row>
    <row r="171" spans="1:17" s="613" customFormat="1" ht="25" customHeight="1">
      <c r="A171" s="1211" t="s">
        <v>426</v>
      </c>
      <c r="B171" s="1212" t="s">
        <v>427</v>
      </c>
      <c r="C171" s="1213"/>
      <c r="D171" s="1213"/>
      <c r="E171" s="1213"/>
      <c r="F171" s="1214"/>
      <c r="G171" s="1213"/>
      <c r="H171" s="1213"/>
      <c r="I171" s="1213"/>
      <c r="J171" s="1156"/>
      <c r="K171" s="1156"/>
      <c r="L171" s="1156"/>
      <c r="M171" s="1156"/>
      <c r="N171" s="1156"/>
      <c r="O171" s="1156"/>
      <c r="P171" s="1156"/>
      <c r="Q171" s="1157"/>
    </row>
    <row r="172" spans="1:17" s="613" customFormat="1" ht="25" customHeight="1">
      <c r="A172" s="1211" t="s">
        <v>6</v>
      </c>
      <c r="B172" s="1215" t="s">
        <v>221</v>
      </c>
      <c r="C172" s="1213"/>
      <c r="D172" s="1213"/>
      <c r="E172" s="1213"/>
      <c r="F172" s="1214"/>
      <c r="G172" s="1213"/>
      <c r="H172" s="1213"/>
      <c r="I172" s="1213"/>
      <c r="J172" s="1156"/>
      <c r="K172" s="1156"/>
      <c r="L172" s="1156"/>
      <c r="M172" s="1156"/>
      <c r="N172" s="1156"/>
      <c r="O172" s="1156"/>
      <c r="P172" s="1156"/>
      <c r="Q172" s="1157"/>
    </row>
    <row r="173" spans="1:17" s="613" customFormat="1" ht="25" customHeight="1">
      <c r="A173" s="1211">
        <v>1</v>
      </c>
      <c r="B173" s="1215" t="s">
        <v>4</v>
      </c>
      <c r="C173" s="1213"/>
      <c r="D173" s="1213"/>
      <c r="E173" s="1213"/>
      <c r="F173" s="1214"/>
      <c r="G173" s="1213"/>
      <c r="H173" s="1213"/>
      <c r="I173" s="1213"/>
      <c r="J173" s="1156"/>
      <c r="K173" s="1156"/>
      <c r="L173" s="1156"/>
      <c r="M173" s="1156"/>
      <c r="N173" s="1156"/>
      <c r="O173" s="1156"/>
      <c r="P173" s="1156"/>
      <c r="Q173" s="1157"/>
    </row>
    <row r="174" spans="1:17" s="613" customFormat="1" ht="25" customHeight="1">
      <c r="A174" s="1147" t="s">
        <v>224</v>
      </c>
      <c r="B174" s="1172" t="s">
        <v>673</v>
      </c>
      <c r="C174" s="1150">
        <v>4</v>
      </c>
      <c r="D174" s="1150">
        <v>1</v>
      </c>
      <c r="E174" s="1150">
        <v>10</v>
      </c>
      <c r="F174" s="1149">
        <f t="shared" ref="F174:F182" si="34">I174+J174+K174</f>
        <v>858</v>
      </c>
      <c r="G174" s="1150">
        <v>70</v>
      </c>
      <c r="H174" s="962">
        <f t="shared" ref="H174:H182" si="35">C174*E174*G174</f>
        <v>2800</v>
      </c>
      <c r="I174" s="1150">
        <f t="shared" ref="I174:I182" si="36">IF(G174&lt;70, C174*E174*16.5*1, C174*E174*16.5*1.3)</f>
        <v>858</v>
      </c>
      <c r="J174" s="1156"/>
      <c r="K174" s="1156"/>
      <c r="L174" s="1156"/>
      <c r="M174" s="1156"/>
      <c r="N174" s="1156"/>
      <c r="O174" s="1156"/>
      <c r="P174" s="1156"/>
      <c r="Q174" s="1157"/>
    </row>
    <row r="175" spans="1:17" s="613" customFormat="1" ht="25" customHeight="1">
      <c r="A175" s="1147" t="s">
        <v>225</v>
      </c>
      <c r="B175" s="1172" t="s">
        <v>674</v>
      </c>
      <c r="C175" s="962">
        <v>3</v>
      </c>
      <c r="D175" s="962">
        <v>1</v>
      </c>
      <c r="E175" s="962">
        <v>4</v>
      </c>
      <c r="F175" s="1149">
        <f t="shared" si="34"/>
        <v>257.40000000000003</v>
      </c>
      <c r="G175" s="962">
        <v>70</v>
      </c>
      <c r="H175" s="962">
        <f t="shared" si="35"/>
        <v>840</v>
      </c>
      <c r="I175" s="1150">
        <f t="shared" si="36"/>
        <v>257.40000000000003</v>
      </c>
      <c r="J175" s="1156"/>
      <c r="K175" s="1156"/>
      <c r="L175" s="1156"/>
      <c r="M175" s="1156"/>
      <c r="N175" s="1156"/>
      <c r="O175" s="1156"/>
      <c r="P175" s="1156"/>
      <c r="Q175" s="1157"/>
    </row>
    <row r="176" spans="1:17" s="613" customFormat="1" ht="25" customHeight="1">
      <c r="A176" s="1147" t="s">
        <v>226</v>
      </c>
      <c r="B176" s="1178" t="s">
        <v>421</v>
      </c>
      <c r="C176" s="962">
        <v>3</v>
      </c>
      <c r="D176" s="962">
        <v>1</v>
      </c>
      <c r="E176" s="962">
        <v>3</v>
      </c>
      <c r="F176" s="1149">
        <f t="shared" si="34"/>
        <v>193.05</v>
      </c>
      <c r="G176" s="962">
        <v>70</v>
      </c>
      <c r="H176" s="962">
        <f t="shared" si="35"/>
        <v>630</v>
      </c>
      <c r="I176" s="1150">
        <f t="shared" si="36"/>
        <v>193.05</v>
      </c>
      <c r="J176" s="1156"/>
      <c r="K176" s="1156"/>
      <c r="L176" s="1156"/>
      <c r="M176" s="1156"/>
      <c r="N176" s="1156"/>
      <c r="O176" s="1156"/>
      <c r="P176" s="1156"/>
      <c r="Q176" s="1157"/>
    </row>
    <row r="177" spans="1:17" s="613" customFormat="1" ht="25" customHeight="1">
      <c r="A177" s="1147" t="s">
        <v>227</v>
      </c>
      <c r="B177" s="1178" t="s">
        <v>422</v>
      </c>
      <c r="C177" s="962">
        <v>4</v>
      </c>
      <c r="D177" s="962">
        <v>1</v>
      </c>
      <c r="E177" s="962">
        <v>3</v>
      </c>
      <c r="F177" s="1149">
        <f t="shared" si="34"/>
        <v>257.40000000000003</v>
      </c>
      <c r="G177" s="962">
        <v>70</v>
      </c>
      <c r="H177" s="962">
        <f t="shared" si="35"/>
        <v>840</v>
      </c>
      <c r="I177" s="1150">
        <f t="shared" si="36"/>
        <v>257.40000000000003</v>
      </c>
      <c r="J177" s="1156"/>
      <c r="K177" s="1156"/>
      <c r="L177" s="1156"/>
      <c r="M177" s="1156"/>
      <c r="N177" s="1156"/>
      <c r="O177" s="1156"/>
      <c r="P177" s="1156"/>
      <c r="Q177" s="1157"/>
    </row>
    <row r="178" spans="1:17" s="613" customFormat="1" ht="25" customHeight="1">
      <c r="A178" s="1147" t="s">
        <v>228</v>
      </c>
      <c r="B178" s="1178" t="s">
        <v>423</v>
      </c>
      <c r="C178" s="962">
        <v>4</v>
      </c>
      <c r="D178" s="962">
        <v>1</v>
      </c>
      <c r="E178" s="962">
        <v>4</v>
      </c>
      <c r="F178" s="1149">
        <f t="shared" si="34"/>
        <v>343.2</v>
      </c>
      <c r="G178" s="962">
        <v>70</v>
      </c>
      <c r="H178" s="962">
        <f t="shared" si="35"/>
        <v>1120</v>
      </c>
      <c r="I178" s="1150">
        <f t="shared" si="36"/>
        <v>343.2</v>
      </c>
      <c r="J178" s="1156"/>
      <c r="K178" s="1156"/>
      <c r="L178" s="1156"/>
      <c r="M178" s="1156"/>
      <c r="N178" s="1156"/>
      <c r="O178" s="1156"/>
      <c r="P178" s="1156"/>
      <c r="Q178" s="1157"/>
    </row>
    <row r="179" spans="1:17" s="613" customFormat="1" ht="25" customHeight="1">
      <c r="A179" s="1147" t="s">
        <v>229</v>
      </c>
      <c r="B179" s="1173" t="s">
        <v>424</v>
      </c>
      <c r="C179" s="962">
        <v>4</v>
      </c>
      <c r="D179" s="962">
        <v>1</v>
      </c>
      <c r="E179" s="962">
        <v>1</v>
      </c>
      <c r="F179" s="1149">
        <f t="shared" si="34"/>
        <v>85.8</v>
      </c>
      <c r="G179" s="962">
        <v>70</v>
      </c>
      <c r="H179" s="962">
        <f t="shared" si="35"/>
        <v>280</v>
      </c>
      <c r="I179" s="1150">
        <f t="shared" si="36"/>
        <v>85.8</v>
      </c>
      <c r="J179" s="1156"/>
      <c r="K179" s="1156"/>
      <c r="L179" s="1156"/>
      <c r="M179" s="1156"/>
      <c r="N179" s="1156"/>
      <c r="O179" s="1156"/>
      <c r="P179" s="1156"/>
      <c r="Q179" s="1157"/>
    </row>
    <row r="180" spans="1:17" s="613" customFormat="1" ht="25" customHeight="1">
      <c r="A180" s="1147" t="s">
        <v>675</v>
      </c>
      <c r="B180" s="1173" t="s">
        <v>676</v>
      </c>
      <c r="C180" s="962">
        <v>2</v>
      </c>
      <c r="D180" s="962">
        <v>1</v>
      </c>
      <c r="E180" s="962">
        <v>4</v>
      </c>
      <c r="F180" s="1149">
        <f t="shared" si="34"/>
        <v>171.6</v>
      </c>
      <c r="G180" s="962">
        <v>70</v>
      </c>
      <c r="H180" s="962">
        <f t="shared" si="35"/>
        <v>560</v>
      </c>
      <c r="I180" s="1150">
        <f t="shared" si="36"/>
        <v>171.6</v>
      </c>
      <c r="J180" s="1156"/>
      <c r="K180" s="1156"/>
      <c r="L180" s="1156"/>
      <c r="M180" s="1156"/>
      <c r="N180" s="1156"/>
      <c r="O180" s="1156"/>
      <c r="P180" s="1156"/>
      <c r="Q180" s="1157"/>
    </row>
    <row r="181" spans="1:17" s="613" customFormat="1" ht="25" customHeight="1">
      <c r="A181" s="1147" t="s">
        <v>677</v>
      </c>
      <c r="B181" s="1173" t="s">
        <v>678</v>
      </c>
      <c r="C181" s="962">
        <v>2</v>
      </c>
      <c r="D181" s="962">
        <v>1</v>
      </c>
      <c r="E181" s="962">
        <v>10</v>
      </c>
      <c r="F181" s="1149">
        <f t="shared" si="34"/>
        <v>429</v>
      </c>
      <c r="G181" s="962">
        <v>70</v>
      </c>
      <c r="H181" s="962">
        <f t="shared" si="35"/>
        <v>1400</v>
      </c>
      <c r="I181" s="1150">
        <f t="shared" si="36"/>
        <v>429</v>
      </c>
      <c r="J181" s="1156"/>
      <c r="K181" s="1156"/>
      <c r="L181" s="1156"/>
      <c r="M181" s="1156"/>
      <c r="N181" s="1156"/>
      <c r="O181" s="1156"/>
      <c r="P181" s="1156"/>
      <c r="Q181" s="1157"/>
    </row>
    <row r="182" spans="1:17" s="613" customFormat="1" ht="25" customHeight="1">
      <c r="A182" s="1147" t="s">
        <v>280</v>
      </c>
      <c r="B182" s="1173" t="s">
        <v>425</v>
      </c>
      <c r="C182" s="962">
        <v>3</v>
      </c>
      <c r="D182" s="962">
        <v>1</v>
      </c>
      <c r="E182" s="962">
        <v>4</v>
      </c>
      <c r="F182" s="1149">
        <f t="shared" si="34"/>
        <v>257.40000000000003</v>
      </c>
      <c r="G182" s="962">
        <v>70</v>
      </c>
      <c r="H182" s="962">
        <f t="shared" si="35"/>
        <v>840</v>
      </c>
      <c r="I182" s="1150">
        <f t="shared" si="36"/>
        <v>257.40000000000003</v>
      </c>
      <c r="J182" s="1156"/>
      <c r="K182" s="1156"/>
      <c r="L182" s="1156"/>
      <c r="M182" s="1156"/>
      <c r="N182" s="1156"/>
      <c r="O182" s="1156"/>
      <c r="P182" s="1156"/>
      <c r="Q182" s="1157"/>
    </row>
    <row r="183" spans="1:17" s="613" customFormat="1" ht="25" customHeight="1">
      <c r="A183" s="1167"/>
      <c r="B183" s="1168" t="s">
        <v>375</v>
      </c>
      <c r="C183" s="1169">
        <f>SUM(C174:C182)</f>
        <v>29</v>
      </c>
      <c r="D183" s="1169">
        <f t="shared" ref="D183:K183" si="37">SUM(D174:D182)</f>
        <v>9</v>
      </c>
      <c r="E183" s="1169">
        <f t="shared" si="37"/>
        <v>43</v>
      </c>
      <c r="F183" s="1169">
        <f t="shared" si="37"/>
        <v>2852.8500000000004</v>
      </c>
      <c r="G183" s="1169">
        <f t="shared" si="37"/>
        <v>630</v>
      </c>
      <c r="H183" s="1169">
        <f t="shared" si="37"/>
        <v>9310</v>
      </c>
      <c r="I183" s="1169">
        <f>SUM(I174:I182)</f>
        <v>2852.8500000000004</v>
      </c>
      <c r="J183" s="1169">
        <f t="shared" si="37"/>
        <v>0</v>
      </c>
      <c r="K183" s="1169">
        <f t="shared" si="37"/>
        <v>0</v>
      </c>
      <c r="L183" s="1156"/>
      <c r="M183" s="1156"/>
      <c r="N183" s="1156"/>
      <c r="O183" s="1156"/>
      <c r="P183" s="1156"/>
      <c r="Q183" s="1157"/>
    </row>
    <row r="184" spans="1:17" s="613" customFormat="1" ht="25" customHeight="1">
      <c r="A184" s="1162" t="s">
        <v>146</v>
      </c>
      <c r="B184" s="1221" t="s">
        <v>149</v>
      </c>
      <c r="C184" s="962"/>
      <c r="D184" s="962"/>
      <c r="E184" s="962"/>
      <c r="F184" s="962"/>
      <c r="G184" s="962"/>
      <c r="H184" s="962"/>
      <c r="I184" s="1156"/>
      <c r="J184" s="1156"/>
      <c r="K184" s="1156"/>
      <c r="L184" s="1156"/>
      <c r="M184" s="1156"/>
      <c r="N184" s="1156"/>
      <c r="O184" s="1156"/>
      <c r="P184" s="1156"/>
      <c r="Q184" s="1157"/>
    </row>
    <row r="185" spans="1:17" s="613" customFormat="1" ht="25" customHeight="1">
      <c r="A185" s="1165" t="s">
        <v>230</v>
      </c>
      <c r="B185" s="1217" t="s">
        <v>152</v>
      </c>
      <c r="C185" s="962"/>
      <c r="D185" s="962"/>
      <c r="E185" s="962"/>
      <c r="F185" s="962"/>
      <c r="G185" s="962"/>
      <c r="H185" s="962"/>
      <c r="I185" s="1156"/>
      <c r="J185" s="1156"/>
      <c r="K185" s="1156"/>
      <c r="L185" s="1156"/>
      <c r="M185" s="1156"/>
      <c r="N185" s="1156"/>
      <c r="O185" s="1156"/>
      <c r="P185" s="1156"/>
      <c r="Q185" s="1157"/>
    </row>
    <row r="186" spans="1:17" s="613" customFormat="1" ht="25" customHeight="1">
      <c r="A186" s="1165" t="s">
        <v>231</v>
      </c>
      <c r="B186" s="1217" t="s">
        <v>151</v>
      </c>
      <c r="C186" s="962"/>
      <c r="D186" s="962"/>
      <c r="E186" s="962"/>
      <c r="F186" s="962"/>
      <c r="G186" s="962"/>
      <c r="H186" s="962"/>
      <c r="I186" s="1156"/>
      <c r="J186" s="1156"/>
      <c r="K186" s="1156"/>
      <c r="L186" s="1156"/>
      <c r="M186" s="1156"/>
      <c r="N186" s="1156"/>
      <c r="O186" s="1156"/>
      <c r="P186" s="1156"/>
      <c r="Q186" s="1157"/>
    </row>
    <row r="187" spans="1:17" s="613" customFormat="1" ht="25" customHeight="1">
      <c r="A187" s="1165" t="s">
        <v>232</v>
      </c>
      <c r="B187" s="1217" t="s">
        <v>153</v>
      </c>
      <c r="C187" s="962"/>
      <c r="D187" s="962"/>
      <c r="E187" s="962"/>
      <c r="F187" s="962"/>
      <c r="G187" s="962"/>
      <c r="H187" s="962"/>
      <c r="I187" s="1156"/>
      <c r="J187" s="1156"/>
      <c r="K187" s="1156"/>
      <c r="L187" s="1156"/>
      <c r="M187" s="1156"/>
      <c r="N187" s="1156"/>
      <c r="O187" s="1156"/>
      <c r="P187" s="1156"/>
      <c r="Q187" s="1157"/>
    </row>
    <row r="188" spans="1:17" s="613" customFormat="1" ht="25" customHeight="1">
      <c r="A188" s="1165" t="s">
        <v>233</v>
      </c>
      <c r="B188" s="1217" t="s">
        <v>154</v>
      </c>
      <c r="C188" s="962"/>
      <c r="D188" s="962"/>
      <c r="E188" s="962"/>
      <c r="F188" s="962"/>
      <c r="G188" s="962"/>
      <c r="H188" s="962"/>
      <c r="I188" s="1156"/>
      <c r="J188" s="1156"/>
      <c r="K188" s="1156"/>
      <c r="L188" s="1156"/>
      <c r="M188" s="1156"/>
      <c r="N188" s="1156"/>
      <c r="O188" s="1156"/>
      <c r="P188" s="1156"/>
      <c r="Q188" s="1157"/>
    </row>
    <row r="189" spans="1:17" s="613" customFormat="1" ht="25" customHeight="1">
      <c r="A189" s="1165" t="s">
        <v>234</v>
      </c>
      <c r="B189" s="1217" t="s">
        <v>155</v>
      </c>
      <c r="C189" s="962"/>
      <c r="D189" s="962"/>
      <c r="E189" s="962"/>
      <c r="F189" s="962"/>
      <c r="G189" s="962"/>
      <c r="H189" s="962"/>
      <c r="I189" s="1156"/>
      <c r="J189" s="1156"/>
      <c r="K189" s="1156"/>
      <c r="L189" s="1156"/>
      <c r="M189" s="1156"/>
      <c r="N189" s="1156"/>
      <c r="O189" s="1156"/>
      <c r="P189" s="1156"/>
      <c r="Q189" s="1157"/>
    </row>
    <row r="190" spans="1:17" s="613" customFormat="1" ht="25" customHeight="1">
      <c r="A190" s="1211">
        <v>2</v>
      </c>
      <c r="B190" s="1215" t="s">
        <v>162</v>
      </c>
      <c r="C190" s="962"/>
      <c r="D190" s="962"/>
      <c r="E190" s="962"/>
      <c r="F190" s="962"/>
      <c r="G190" s="962"/>
      <c r="H190" s="962"/>
      <c r="I190" s="1156"/>
      <c r="J190" s="1156"/>
      <c r="K190" s="1156"/>
      <c r="L190" s="1156"/>
      <c r="M190" s="1156"/>
      <c r="N190" s="1156"/>
      <c r="O190" s="1156"/>
      <c r="P190" s="1156"/>
      <c r="Q190" s="1157"/>
    </row>
    <row r="191" spans="1:17" s="613" customFormat="1" ht="25" customHeight="1">
      <c r="A191" s="1143" t="s">
        <v>145</v>
      </c>
      <c r="B191" s="1144" t="s">
        <v>163</v>
      </c>
      <c r="C191" s="962"/>
      <c r="D191" s="962"/>
      <c r="E191" s="962"/>
      <c r="F191" s="1149"/>
      <c r="G191" s="962"/>
      <c r="H191" s="962"/>
      <c r="I191" s="1150"/>
      <c r="J191" s="1156"/>
      <c r="K191" s="1156"/>
      <c r="L191" s="1156"/>
      <c r="M191" s="1156"/>
      <c r="N191" s="1156"/>
      <c r="O191" s="1156"/>
      <c r="P191" s="1156"/>
      <c r="Q191" s="1157"/>
    </row>
    <row r="192" spans="1:17" s="613" customFormat="1" ht="25" customHeight="1">
      <c r="A192" s="1147" t="s">
        <v>224</v>
      </c>
      <c r="B192" s="1178" t="s">
        <v>428</v>
      </c>
      <c r="C192" s="962">
        <v>3</v>
      </c>
      <c r="D192" s="962">
        <v>1</v>
      </c>
      <c r="E192" s="962">
        <v>3</v>
      </c>
      <c r="F192" s="1149">
        <f>(I192+J192+K192)</f>
        <v>103.94999999999999</v>
      </c>
      <c r="G192" s="962">
        <v>25</v>
      </c>
      <c r="H192" s="962">
        <f>C192*E192*G192</f>
        <v>225</v>
      </c>
      <c r="I192" s="1150">
        <f>C192*E192*16.5*0.7</f>
        <v>103.94999999999999</v>
      </c>
      <c r="J192" s="1156"/>
      <c r="K192" s="1156"/>
      <c r="L192" s="1156"/>
      <c r="M192" s="1156"/>
      <c r="N192" s="1156"/>
      <c r="O192" s="1156"/>
      <c r="P192" s="1156"/>
      <c r="Q192" s="1157"/>
    </row>
    <row r="193" spans="1:17" s="613" customFormat="1" ht="25" customHeight="1">
      <c r="A193" s="1147" t="s">
        <v>225</v>
      </c>
      <c r="B193" s="1178" t="s">
        <v>429</v>
      </c>
      <c r="C193" s="962">
        <v>3</v>
      </c>
      <c r="D193" s="962">
        <v>1</v>
      </c>
      <c r="E193" s="962">
        <v>1</v>
      </c>
      <c r="F193" s="1149">
        <f>(I193+J193+K193)</f>
        <v>34.65</v>
      </c>
      <c r="G193" s="962">
        <v>15</v>
      </c>
      <c r="H193" s="962">
        <f>C193*E193*G193</f>
        <v>45</v>
      </c>
      <c r="I193" s="1150">
        <f>C193*E193*16.5*0.7</f>
        <v>34.65</v>
      </c>
      <c r="J193" s="1156"/>
      <c r="K193" s="1156"/>
      <c r="L193" s="1156"/>
      <c r="M193" s="1156"/>
      <c r="N193" s="1156"/>
      <c r="O193" s="1156"/>
      <c r="P193" s="1156"/>
      <c r="Q193" s="1157"/>
    </row>
    <row r="194" spans="1:17" s="613" customFormat="1" ht="25" customHeight="1">
      <c r="A194" s="1147"/>
      <c r="B194" s="1178" t="s">
        <v>679</v>
      </c>
      <c r="C194" s="962">
        <v>3</v>
      </c>
      <c r="D194" s="962">
        <v>1</v>
      </c>
      <c r="E194" s="962">
        <v>1</v>
      </c>
      <c r="F194" s="1149">
        <f>(I194+J194+K194)</f>
        <v>34.65</v>
      </c>
      <c r="G194" s="962">
        <v>15</v>
      </c>
      <c r="H194" s="962">
        <f>C194*E194*G194</f>
        <v>45</v>
      </c>
      <c r="I194" s="1150">
        <f>C194*E194*16.5*0.7</f>
        <v>34.65</v>
      </c>
      <c r="J194" s="1156"/>
      <c r="K194" s="1156"/>
      <c r="L194" s="1156"/>
      <c r="M194" s="1156"/>
      <c r="N194" s="1156"/>
      <c r="O194" s="1156"/>
      <c r="P194" s="1156"/>
      <c r="Q194" s="1157"/>
    </row>
    <row r="195" spans="1:17" s="613" customFormat="1" ht="25" customHeight="1">
      <c r="A195" s="1147" t="s">
        <v>226</v>
      </c>
      <c r="B195" s="1172" t="s">
        <v>430</v>
      </c>
      <c r="C195" s="962">
        <v>3</v>
      </c>
      <c r="D195" s="962">
        <v>1</v>
      </c>
      <c r="E195" s="962">
        <v>3</v>
      </c>
      <c r="F195" s="1149">
        <f>(I195+J195+K195)</f>
        <v>103.94999999999999</v>
      </c>
      <c r="G195" s="962">
        <v>25</v>
      </c>
      <c r="H195" s="962">
        <f>C195*E195*G195</f>
        <v>225</v>
      </c>
      <c r="I195" s="1150">
        <f>C195*E195*16.5*0.7</f>
        <v>103.94999999999999</v>
      </c>
      <c r="J195" s="1156"/>
      <c r="K195" s="1156"/>
      <c r="L195" s="1156"/>
      <c r="M195" s="1156"/>
      <c r="N195" s="1156"/>
      <c r="O195" s="1156"/>
      <c r="P195" s="1156"/>
      <c r="Q195" s="1157"/>
    </row>
    <row r="196" spans="1:17" s="613" customFormat="1" ht="25" customHeight="1">
      <c r="A196" s="1162" t="s">
        <v>146</v>
      </c>
      <c r="B196" s="1221" t="s">
        <v>680</v>
      </c>
      <c r="C196" s="962"/>
      <c r="D196" s="962"/>
      <c r="E196" s="962"/>
      <c r="F196" s="962"/>
      <c r="G196" s="962"/>
      <c r="H196" s="962"/>
      <c r="I196" s="1156"/>
      <c r="J196" s="1156"/>
      <c r="K196" s="1156"/>
      <c r="L196" s="1156"/>
      <c r="M196" s="1156"/>
      <c r="N196" s="1156"/>
      <c r="O196" s="1156"/>
      <c r="P196" s="1156"/>
      <c r="Q196" s="1157"/>
    </row>
    <row r="197" spans="1:17" s="613" customFormat="1" ht="25" customHeight="1">
      <c r="A197" s="1211">
        <v>3</v>
      </c>
      <c r="B197" s="1215" t="s">
        <v>164</v>
      </c>
      <c r="C197" s="962"/>
      <c r="D197" s="962"/>
      <c r="E197" s="962"/>
      <c r="F197" s="962"/>
      <c r="G197" s="962"/>
      <c r="H197" s="962"/>
      <c r="I197" s="1156"/>
      <c r="J197" s="1156"/>
      <c r="K197" s="1156"/>
      <c r="L197" s="1156"/>
      <c r="M197" s="1156"/>
      <c r="N197" s="1156"/>
      <c r="O197" s="1156"/>
      <c r="P197" s="1156"/>
      <c r="Q197" s="1157"/>
    </row>
    <row r="198" spans="1:17" s="613" customFormat="1" ht="25" customHeight="1">
      <c r="A198" s="1143" t="s">
        <v>145</v>
      </c>
      <c r="B198" s="1144" t="s">
        <v>165</v>
      </c>
      <c r="C198" s="962"/>
      <c r="D198" s="962"/>
      <c r="E198" s="962"/>
      <c r="F198" s="962"/>
      <c r="G198" s="962"/>
      <c r="H198" s="962"/>
      <c r="I198" s="1156"/>
      <c r="J198" s="1156"/>
      <c r="K198" s="1156"/>
      <c r="L198" s="1156"/>
      <c r="M198" s="1156"/>
      <c r="N198" s="1156"/>
      <c r="O198" s="1156"/>
      <c r="P198" s="1156"/>
      <c r="Q198" s="1157"/>
    </row>
    <row r="199" spans="1:17" s="613" customFormat="1" ht="25" customHeight="1">
      <c r="A199" s="1162" t="s">
        <v>146</v>
      </c>
      <c r="B199" s="1221" t="s">
        <v>166</v>
      </c>
      <c r="C199" s="962"/>
      <c r="D199" s="962"/>
      <c r="E199" s="962"/>
      <c r="F199" s="962"/>
      <c r="G199" s="962"/>
      <c r="H199" s="958"/>
      <c r="I199" s="958"/>
      <c r="J199" s="1156"/>
      <c r="K199" s="1156"/>
      <c r="L199" s="1156"/>
      <c r="M199" s="1156"/>
      <c r="N199" s="1156"/>
      <c r="O199" s="1156"/>
      <c r="P199" s="1156"/>
      <c r="Q199" s="1157"/>
    </row>
    <row r="200" spans="1:17" s="613" customFormat="1" ht="25" customHeight="1">
      <c r="A200" s="1162" t="s">
        <v>167</v>
      </c>
      <c r="B200" s="1221" t="s">
        <v>168</v>
      </c>
      <c r="C200" s="962"/>
      <c r="D200" s="962"/>
      <c r="E200" s="962"/>
      <c r="F200" s="962"/>
      <c r="G200" s="962"/>
      <c r="H200" s="962"/>
      <c r="I200" s="1156"/>
      <c r="J200" s="1156"/>
      <c r="K200" s="1156"/>
      <c r="L200" s="1156"/>
      <c r="M200" s="1156"/>
      <c r="N200" s="1156"/>
      <c r="O200" s="1156"/>
      <c r="P200" s="1156"/>
      <c r="Q200" s="1157"/>
    </row>
    <row r="201" spans="1:17" s="613" customFormat="1" ht="25" customHeight="1">
      <c r="A201" s="1167"/>
      <c r="B201" s="1168" t="s">
        <v>433</v>
      </c>
      <c r="C201" s="1169">
        <f>SUM(C192:C200)</f>
        <v>12</v>
      </c>
      <c r="D201" s="1169">
        <f t="shared" ref="D201:K201" si="38">SUM(D192:D200)</f>
        <v>4</v>
      </c>
      <c r="E201" s="1169">
        <f t="shared" si="38"/>
        <v>8</v>
      </c>
      <c r="F201" s="1169">
        <f t="shared" si="38"/>
        <v>277.2</v>
      </c>
      <c r="G201" s="1169">
        <f t="shared" si="38"/>
        <v>80</v>
      </c>
      <c r="H201" s="1169">
        <f t="shared" si="38"/>
        <v>540</v>
      </c>
      <c r="I201" s="1169">
        <f t="shared" si="38"/>
        <v>277.2</v>
      </c>
      <c r="J201" s="1169">
        <f t="shared" si="38"/>
        <v>0</v>
      </c>
      <c r="K201" s="1169">
        <f t="shared" si="38"/>
        <v>0</v>
      </c>
      <c r="L201" s="1156"/>
      <c r="M201" s="1156"/>
      <c r="N201" s="1156"/>
      <c r="O201" s="1156"/>
      <c r="P201" s="1156"/>
      <c r="Q201" s="1157"/>
    </row>
    <row r="202" spans="1:17" s="613" customFormat="1" ht="25" customHeight="1">
      <c r="A202" s="1211" t="s">
        <v>7</v>
      </c>
      <c r="B202" s="1215" t="s">
        <v>222</v>
      </c>
      <c r="C202" s="962"/>
      <c r="D202" s="962"/>
      <c r="E202" s="962"/>
      <c r="F202" s="962"/>
      <c r="G202" s="962"/>
      <c r="H202" s="962"/>
      <c r="I202" s="1156"/>
      <c r="J202" s="1156"/>
      <c r="K202" s="1156"/>
      <c r="L202" s="1156"/>
      <c r="M202" s="1156"/>
      <c r="N202" s="1156"/>
      <c r="O202" s="1156"/>
      <c r="P202" s="1156"/>
      <c r="Q202" s="1157"/>
    </row>
    <row r="203" spans="1:17" s="613" customFormat="1" ht="25" customHeight="1">
      <c r="A203" s="1211">
        <v>1</v>
      </c>
      <c r="B203" s="1144" t="s">
        <v>223</v>
      </c>
      <c r="C203" s="962"/>
      <c r="D203" s="962"/>
      <c r="E203" s="962"/>
      <c r="F203" s="1149"/>
      <c r="G203" s="962"/>
      <c r="H203" s="962"/>
      <c r="I203" s="1150"/>
      <c r="J203" s="1156"/>
      <c r="K203" s="1156"/>
      <c r="L203" s="1156"/>
      <c r="M203" s="1156"/>
      <c r="N203" s="1156"/>
      <c r="O203" s="1156"/>
      <c r="P203" s="1156"/>
      <c r="Q203" s="1157"/>
    </row>
    <row r="204" spans="1:17" s="613" customFormat="1" ht="25" customHeight="1">
      <c r="A204" s="1211" t="s">
        <v>145</v>
      </c>
      <c r="B204" s="1144" t="s">
        <v>161</v>
      </c>
      <c r="C204" s="962"/>
      <c r="D204" s="962"/>
      <c r="E204" s="962"/>
      <c r="F204" s="1149"/>
      <c r="G204" s="962"/>
      <c r="H204" s="962"/>
      <c r="I204" s="1150"/>
      <c r="J204" s="1156"/>
      <c r="K204" s="1156"/>
      <c r="L204" s="1156"/>
      <c r="M204" s="1156"/>
      <c r="N204" s="1156"/>
      <c r="O204" s="1156"/>
      <c r="P204" s="1156"/>
      <c r="Q204" s="1157"/>
    </row>
    <row r="205" spans="1:17" s="613" customFormat="1" ht="25" customHeight="1">
      <c r="A205" s="1165" t="s">
        <v>224</v>
      </c>
      <c r="B205" s="1178" t="s">
        <v>681</v>
      </c>
      <c r="C205" s="962">
        <v>5</v>
      </c>
      <c r="D205" s="962">
        <v>1</v>
      </c>
      <c r="E205" s="962">
        <v>16</v>
      </c>
      <c r="F205" s="1149">
        <f>(I205+J205+K205)</f>
        <v>1320</v>
      </c>
      <c r="G205" s="962">
        <v>60</v>
      </c>
      <c r="H205" s="962">
        <f t="shared" ref="H205:H210" si="39">C205*E205*G205</f>
        <v>4800</v>
      </c>
      <c r="I205" s="1150">
        <f t="shared" ref="I205:I210" si="40">IF(G205&lt;70, C205*E205*16.5*1, C205*E205*16.5*1.3)</f>
        <v>1320</v>
      </c>
      <c r="J205" s="1156"/>
      <c r="K205" s="1156"/>
      <c r="L205" s="1156"/>
      <c r="M205" s="1156"/>
      <c r="N205" s="1156"/>
      <c r="O205" s="1156"/>
      <c r="P205" s="1156"/>
      <c r="Q205" s="1157"/>
    </row>
    <row r="206" spans="1:17" s="613" customFormat="1" ht="25" customHeight="1">
      <c r="A206" s="1165" t="s">
        <v>225</v>
      </c>
      <c r="B206" s="1178" t="s">
        <v>431</v>
      </c>
      <c r="C206" s="962">
        <v>5</v>
      </c>
      <c r="D206" s="962">
        <v>1</v>
      </c>
      <c r="E206" s="962">
        <v>10</v>
      </c>
      <c r="F206" s="1149">
        <f>I206+J206+K206</f>
        <v>825</v>
      </c>
      <c r="G206" s="962">
        <v>60</v>
      </c>
      <c r="H206" s="962">
        <f t="shared" si="39"/>
        <v>3000</v>
      </c>
      <c r="I206" s="1150">
        <f t="shared" si="40"/>
        <v>825</v>
      </c>
      <c r="J206" s="1156"/>
      <c r="K206" s="1156"/>
      <c r="L206" s="1156"/>
      <c r="M206" s="1156"/>
      <c r="N206" s="1156"/>
      <c r="O206" s="1156"/>
      <c r="P206" s="1156"/>
      <c r="Q206" s="1157"/>
    </row>
    <row r="207" spans="1:17" s="613" customFormat="1" ht="25" customHeight="1">
      <c r="A207" s="1165" t="s">
        <v>226</v>
      </c>
      <c r="B207" s="1178" t="s">
        <v>420</v>
      </c>
      <c r="C207" s="962">
        <v>3</v>
      </c>
      <c r="D207" s="962">
        <v>1</v>
      </c>
      <c r="E207" s="962">
        <v>16</v>
      </c>
      <c r="F207" s="1149">
        <f>I207+J207+K207</f>
        <v>792</v>
      </c>
      <c r="G207" s="962">
        <v>60</v>
      </c>
      <c r="H207" s="962">
        <f t="shared" si="39"/>
        <v>2880</v>
      </c>
      <c r="I207" s="1150">
        <f t="shared" si="40"/>
        <v>792</v>
      </c>
      <c r="J207" s="1156"/>
      <c r="K207" s="1156"/>
      <c r="L207" s="1156"/>
      <c r="M207" s="1156"/>
      <c r="N207" s="1156"/>
      <c r="O207" s="1156"/>
      <c r="P207" s="1156"/>
      <c r="Q207" s="1157"/>
    </row>
    <row r="208" spans="1:17" s="613" customFormat="1" ht="25" customHeight="1">
      <c r="A208" s="1165" t="s">
        <v>227</v>
      </c>
      <c r="B208" s="1178" t="s">
        <v>432</v>
      </c>
      <c r="C208" s="962">
        <v>3</v>
      </c>
      <c r="D208" s="962">
        <v>1</v>
      </c>
      <c r="E208" s="962">
        <v>10</v>
      </c>
      <c r="F208" s="1149">
        <f>I208+J208+K208</f>
        <v>495</v>
      </c>
      <c r="G208" s="962">
        <v>60</v>
      </c>
      <c r="H208" s="962">
        <f t="shared" si="39"/>
        <v>1800</v>
      </c>
      <c r="I208" s="1150">
        <f t="shared" si="40"/>
        <v>495</v>
      </c>
      <c r="J208" s="1156"/>
      <c r="K208" s="1156"/>
      <c r="L208" s="1156"/>
      <c r="M208" s="1156"/>
      <c r="N208" s="1156"/>
      <c r="O208" s="1156"/>
      <c r="P208" s="1156"/>
      <c r="Q208" s="1157"/>
    </row>
    <row r="209" spans="1:17" s="613" customFormat="1" ht="25" customHeight="1">
      <c r="A209" s="1165" t="s">
        <v>228</v>
      </c>
      <c r="B209" s="1178" t="s">
        <v>1616</v>
      </c>
      <c r="C209" s="960">
        <v>5</v>
      </c>
      <c r="D209" s="960">
        <v>1</v>
      </c>
      <c r="E209" s="960">
        <v>10</v>
      </c>
      <c r="F209" s="1149">
        <f>I209+J209+K209</f>
        <v>825</v>
      </c>
      <c r="G209" s="960">
        <v>50</v>
      </c>
      <c r="H209" s="962">
        <f t="shared" si="39"/>
        <v>2500</v>
      </c>
      <c r="I209" s="1150">
        <f t="shared" si="40"/>
        <v>825</v>
      </c>
      <c r="J209" s="1156"/>
      <c r="K209" s="1156"/>
      <c r="L209" s="1156"/>
      <c r="M209" s="1156"/>
      <c r="N209" s="1156"/>
      <c r="O209" s="1156"/>
      <c r="P209" s="1156"/>
      <c r="Q209" s="1157"/>
    </row>
    <row r="210" spans="1:17" s="614" customFormat="1" ht="25" customHeight="1">
      <c r="A210" s="1179" t="s">
        <v>229</v>
      </c>
      <c r="B210" s="1222" t="s">
        <v>1617</v>
      </c>
      <c r="C210" s="1189">
        <v>5</v>
      </c>
      <c r="D210" s="1189">
        <v>1</v>
      </c>
      <c r="E210" s="1189">
        <v>16</v>
      </c>
      <c r="F210" s="1223">
        <f>I210+J210+K210</f>
        <v>1320</v>
      </c>
      <c r="G210" s="1189">
        <v>50</v>
      </c>
      <c r="H210" s="1189">
        <f t="shared" si="39"/>
        <v>4000</v>
      </c>
      <c r="I210" s="1224">
        <f t="shared" si="40"/>
        <v>1320</v>
      </c>
      <c r="J210" s="1180"/>
      <c r="K210" s="1185"/>
      <c r="L210" s="1185"/>
      <c r="M210" s="1185"/>
      <c r="N210" s="1161"/>
      <c r="O210" s="1185"/>
      <c r="P210" s="1185"/>
      <c r="Q210" s="1181"/>
    </row>
    <row r="211" spans="1:17" s="614" customFormat="1" ht="25" customHeight="1">
      <c r="A211" s="1167"/>
      <c r="B211" s="1168" t="s">
        <v>375</v>
      </c>
      <c r="C211" s="1169">
        <f>SUM(C205:C210)</f>
        <v>26</v>
      </c>
      <c r="D211" s="1169">
        <f>SUM(D205:D210)</f>
        <v>6</v>
      </c>
      <c r="E211" s="1169">
        <f>SUM(E205:E210)</f>
        <v>78</v>
      </c>
      <c r="F211" s="1169">
        <f t="shared" ref="F211:K211" si="41">SUM(F205:F210)</f>
        <v>5577</v>
      </c>
      <c r="G211" s="1169">
        <f t="shared" si="41"/>
        <v>340</v>
      </c>
      <c r="H211" s="1169">
        <f t="shared" si="41"/>
        <v>18980</v>
      </c>
      <c r="I211" s="1169">
        <f t="shared" si="41"/>
        <v>5577</v>
      </c>
      <c r="J211" s="1169">
        <f t="shared" si="41"/>
        <v>0</v>
      </c>
      <c r="K211" s="1169">
        <f t="shared" si="41"/>
        <v>0</v>
      </c>
      <c r="L211" s="1185"/>
      <c r="M211" s="1185"/>
      <c r="N211" s="1161"/>
      <c r="O211" s="1185"/>
      <c r="P211" s="1185"/>
      <c r="Q211" s="1181"/>
    </row>
    <row r="212" spans="1:17" s="1809" customFormat="1" ht="25" customHeight="1">
      <c r="A212" s="1806"/>
      <c r="B212" s="1807" t="s">
        <v>434</v>
      </c>
      <c r="C212" s="1153">
        <f>C183+C201+C211</f>
        <v>67</v>
      </c>
      <c r="D212" s="1153">
        <f t="shared" ref="D212:K212" si="42">D183+D201+D211</f>
        <v>19</v>
      </c>
      <c r="E212" s="1153">
        <f t="shared" si="42"/>
        <v>129</v>
      </c>
      <c r="F212" s="1153">
        <f t="shared" si="42"/>
        <v>8707.0499999999993</v>
      </c>
      <c r="G212" s="1153">
        <f t="shared" si="42"/>
        <v>1050</v>
      </c>
      <c r="H212" s="1153">
        <f t="shared" si="42"/>
        <v>28830</v>
      </c>
      <c r="I212" s="1153">
        <f t="shared" si="42"/>
        <v>8707.0499999999993</v>
      </c>
      <c r="J212" s="1153">
        <f t="shared" si="42"/>
        <v>0</v>
      </c>
      <c r="K212" s="1153">
        <f t="shared" si="42"/>
        <v>0</v>
      </c>
      <c r="L212" s="1153">
        <f>'Bieu3 GDH'!F20</f>
        <v>1080</v>
      </c>
      <c r="M212" s="1153">
        <f>'Bieu3 GDH'!N20</f>
        <v>1039.5</v>
      </c>
      <c r="N212" s="1153">
        <f>I212-M212</f>
        <v>7667.5499999999993</v>
      </c>
      <c r="O212" s="1153">
        <f>'Bieu3 GDH'!O20</f>
        <v>805.25</v>
      </c>
      <c r="P212" s="1153">
        <f>'Bieu3 GDH'!P20</f>
        <v>370</v>
      </c>
      <c r="Q212" s="1808" t="s">
        <v>689</v>
      </c>
    </row>
    <row r="213" spans="1:17" s="613" customFormat="1" ht="25" customHeight="1">
      <c r="A213" s="1138" t="s">
        <v>5</v>
      </c>
      <c r="B213" s="1139" t="s">
        <v>478</v>
      </c>
      <c r="C213" s="1132"/>
      <c r="D213" s="1132"/>
      <c r="E213" s="1132"/>
      <c r="F213" s="1140"/>
      <c r="G213" s="1132"/>
      <c r="H213" s="1132"/>
      <c r="I213" s="1132"/>
      <c r="J213" s="1132"/>
      <c r="K213" s="1225"/>
      <c r="L213" s="1226"/>
      <c r="M213" s="960"/>
      <c r="N213" s="960"/>
      <c r="O213" s="960"/>
      <c r="P213" s="960"/>
      <c r="Q213" s="1127"/>
    </row>
    <row r="214" spans="1:17" s="613" customFormat="1" ht="25" customHeight="1">
      <c r="A214" s="1138" t="s">
        <v>6</v>
      </c>
      <c r="B214" s="1142" t="s">
        <v>221</v>
      </c>
      <c r="C214" s="1132"/>
      <c r="D214" s="1132"/>
      <c r="E214" s="1132"/>
      <c r="F214" s="1140"/>
      <c r="G214" s="1132"/>
      <c r="H214" s="1132"/>
      <c r="I214" s="1132"/>
      <c r="J214" s="1132"/>
      <c r="K214" s="1225"/>
      <c r="L214" s="1226"/>
      <c r="M214" s="960"/>
      <c r="N214" s="960"/>
      <c r="O214" s="960"/>
      <c r="P214" s="960"/>
      <c r="Q214" s="1127"/>
    </row>
    <row r="215" spans="1:17" s="613" customFormat="1" ht="25" customHeight="1">
      <c r="A215" s="1138">
        <v>1</v>
      </c>
      <c r="B215" s="1142" t="s">
        <v>4</v>
      </c>
      <c r="C215" s="1132"/>
      <c r="D215" s="1132"/>
      <c r="E215" s="1132"/>
      <c r="F215" s="1140"/>
      <c r="G215" s="1132"/>
      <c r="H215" s="1132"/>
      <c r="I215" s="1132"/>
      <c r="J215" s="1132"/>
      <c r="K215" s="1225"/>
      <c r="L215" s="1226"/>
      <c r="M215" s="960"/>
      <c r="N215" s="960"/>
      <c r="O215" s="960"/>
      <c r="P215" s="960"/>
      <c r="Q215" s="1127"/>
    </row>
    <row r="216" spans="1:17" s="613" customFormat="1" ht="25" customHeight="1">
      <c r="A216" s="1143" t="s">
        <v>145</v>
      </c>
      <c r="B216" s="1144" t="s">
        <v>159</v>
      </c>
      <c r="C216" s="958"/>
      <c r="D216" s="958"/>
      <c r="E216" s="958"/>
      <c r="F216" s="962"/>
      <c r="G216" s="958"/>
      <c r="H216" s="958"/>
      <c r="I216" s="1145"/>
      <c r="J216" s="1145"/>
      <c r="K216" s="1225"/>
      <c r="L216" s="1226"/>
      <c r="M216" s="960"/>
      <c r="N216" s="960"/>
      <c r="O216" s="960"/>
      <c r="P216" s="960"/>
      <c r="Q216" s="1127"/>
    </row>
    <row r="217" spans="1:17" s="613" customFormat="1" ht="25" customHeight="1">
      <c r="A217" s="1227" t="s">
        <v>224</v>
      </c>
      <c r="B217" s="1178" t="s">
        <v>437</v>
      </c>
      <c r="C217" s="960">
        <v>2</v>
      </c>
      <c r="D217" s="960">
        <v>1</v>
      </c>
      <c r="E217" s="960">
        <v>1</v>
      </c>
      <c r="F217" s="1149">
        <f t="shared" ref="F217:F224" si="43">I217+J217+K217</f>
        <v>42.9</v>
      </c>
      <c r="G217" s="960">
        <v>80</v>
      </c>
      <c r="H217" s="962">
        <f>C217*E217*G217*D217</f>
        <v>160</v>
      </c>
      <c r="I217" s="1150">
        <f t="shared" ref="I217:I224" si="44">IF(G217&lt;70, C217*E217*16.5*1, C217*E217*16.5*1.3)</f>
        <v>42.9</v>
      </c>
      <c r="J217" s="1145"/>
      <c r="K217" s="1225"/>
      <c r="L217" s="1226"/>
      <c r="M217" s="960"/>
      <c r="N217" s="960"/>
      <c r="O217" s="960"/>
      <c r="P217" s="960"/>
      <c r="Q217" s="1127"/>
    </row>
    <row r="218" spans="1:17" s="613" customFormat="1" ht="25" customHeight="1">
      <c r="A218" s="1227" t="s">
        <v>225</v>
      </c>
      <c r="B218" s="1056" t="s">
        <v>438</v>
      </c>
      <c r="C218" s="960">
        <v>3</v>
      </c>
      <c r="D218" s="960">
        <v>1</v>
      </c>
      <c r="E218" s="960">
        <v>1</v>
      </c>
      <c r="F218" s="1149">
        <f t="shared" si="43"/>
        <v>64.350000000000009</v>
      </c>
      <c r="G218" s="960">
        <v>80</v>
      </c>
      <c r="H218" s="962">
        <f t="shared" ref="H218:H229" si="45">C218*E218*G218*D218</f>
        <v>240</v>
      </c>
      <c r="I218" s="1150">
        <f t="shared" si="44"/>
        <v>64.350000000000009</v>
      </c>
      <c r="J218" s="1145"/>
      <c r="K218" s="1225"/>
      <c r="L218" s="1226"/>
      <c r="M218" s="960"/>
      <c r="N218" s="960"/>
      <c r="O218" s="960"/>
      <c r="P218" s="960"/>
      <c r="Q218" s="1127"/>
    </row>
    <row r="219" spans="1:17" s="613" customFormat="1" ht="25" customHeight="1">
      <c r="A219" s="1227" t="s">
        <v>226</v>
      </c>
      <c r="B219" s="1178" t="s">
        <v>437</v>
      </c>
      <c r="C219" s="960">
        <v>2</v>
      </c>
      <c r="D219" s="960">
        <v>1</v>
      </c>
      <c r="E219" s="960">
        <v>2</v>
      </c>
      <c r="F219" s="1149">
        <f t="shared" si="43"/>
        <v>85.8</v>
      </c>
      <c r="G219" s="960">
        <v>80</v>
      </c>
      <c r="H219" s="962">
        <f t="shared" si="45"/>
        <v>320</v>
      </c>
      <c r="I219" s="1150">
        <f t="shared" si="44"/>
        <v>85.8</v>
      </c>
      <c r="J219" s="1156"/>
      <c r="K219" s="1225"/>
      <c r="L219" s="1226"/>
      <c r="M219" s="960"/>
      <c r="N219" s="960"/>
      <c r="O219" s="960"/>
      <c r="P219" s="960"/>
      <c r="Q219" s="1127"/>
    </row>
    <row r="220" spans="1:17" s="613" customFormat="1" ht="25" customHeight="1">
      <c r="A220" s="1227" t="s">
        <v>227</v>
      </c>
      <c r="B220" s="1178" t="s">
        <v>439</v>
      </c>
      <c r="C220" s="968">
        <v>3</v>
      </c>
      <c r="D220" s="968">
        <v>1</v>
      </c>
      <c r="E220" s="968">
        <v>1</v>
      </c>
      <c r="F220" s="1149">
        <f t="shared" si="43"/>
        <v>49.5</v>
      </c>
      <c r="G220" s="968">
        <v>40</v>
      </c>
      <c r="H220" s="962">
        <f t="shared" si="45"/>
        <v>120</v>
      </c>
      <c r="I220" s="1150">
        <f t="shared" si="44"/>
        <v>49.5</v>
      </c>
      <c r="J220" s="1145"/>
      <c r="K220" s="1225"/>
      <c r="L220" s="1226"/>
      <c r="M220" s="960"/>
      <c r="N220" s="960"/>
      <c r="O220" s="960"/>
      <c r="P220" s="960"/>
      <c r="Q220" s="1127"/>
    </row>
    <row r="221" spans="1:17" s="613" customFormat="1" ht="25" customHeight="1">
      <c r="A221" s="1227" t="s">
        <v>228</v>
      </c>
      <c r="B221" s="1178" t="s">
        <v>440</v>
      </c>
      <c r="C221" s="968">
        <v>2</v>
      </c>
      <c r="D221" s="968">
        <v>1</v>
      </c>
      <c r="E221" s="968">
        <v>1</v>
      </c>
      <c r="F221" s="1149">
        <f t="shared" si="43"/>
        <v>33</v>
      </c>
      <c r="G221" s="968">
        <v>40</v>
      </c>
      <c r="H221" s="962">
        <f t="shared" si="45"/>
        <v>80</v>
      </c>
      <c r="I221" s="1150">
        <f t="shared" si="44"/>
        <v>33</v>
      </c>
      <c r="J221" s="1145"/>
      <c r="K221" s="1225"/>
      <c r="L221" s="1226"/>
      <c r="M221" s="960"/>
      <c r="N221" s="960"/>
      <c r="O221" s="960"/>
      <c r="P221" s="960"/>
      <c r="Q221" s="1127"/>
    </row>
    <row r="222" spans="1:17" s="613" customFormat="1" ht="25" customHeight="1">
      <c r="A222" s="1227" t="s">
        <v>229</v>
      </c>
      <c r="B222" s="1178" t="s">
        <v>437</v>
      </c>
      <c r="C222" s="960">
        <v>2</v>
      </c>
      <c r="D222" s="960">
        <v>1</v>
      </c>
      <c r="E222" s="968">
        <v>1</v>
      </c>
      <c r="F222" s="1149">
        <f t="shared" si="43"/>
        <v>42.9</v>
      </c>
      <c r="G222" s="960">
        <v>80</v>
      </c>
      <c r="H222" s="962">
        <f t="shared" si="45"/>
        <v>160</v>
      </c>
      <c r="I222" s="1150">
        <f t="shared" si="44"/>
        <v>42.9</v>
      </c>
      <c r="J222" s="1145"/>
      <c r="K222" s="1225"/>
      <c r="L222" s="1226"/>
      <c r="M222" s="960"/>
      <c r="N222" s="960"/>
      <c r="O222" s="960"/>
      <c r="P222" s="960"/>
      <c r="Q222" s="1127"/>
    </row>
    <row r="223" spans="1:17" s="613" customFormat="1" ht="25" customHeight="1">
      <c r="A223" s="1227" t="s">
        <v>280</v>
      </c>
      <c r="B223" s="1178" t="s">
        <v>443</v>
      </c>
      <c r="C223" s="960">
        <v>4</v>
      </c>
      <c r="D223" s="960">
        <v>1</v>
      </c>
      <c r="E223" s="960">
        <v>1</v>
      </c>
      <c r="F223" s="1149">
        <f t="shared" si="43"/>
        <v>66</v>
      </c>
      <c r="G223" s="960">
        <v>30</v>
      </c>
      <c r="H223" s="962">
        <f t="shared" si="45"/>
        <v>120</v>
      </c>
      <c r="I223" s="1150">
        <f t="shared" si="44"/>
        <v>66</v>
      </c>
      <c r="J223" s="1145"/>
      <c r="K223" s="1225"/>
      <c r="L223" s="1226"/>
      <c r="M223" s="960"/>
      <c r="N223" s="960"/>
      <c r="O223" s="960"/>
      <c r="P223" s="960"/>
      <c r="Q223" s="1127"/>
    </row>
    <row r="224" spans="1:17" s="613" customFormat="1" ht="25" customHeight="1">
      <c r="A224" s="1227" t="s">
        <v>281</v>
      </c>
      <c r="B224" s="1178" t="s">
        <v>444</v>
      </c>
      <c r="C224" s="1228">
        <v>4</v>
      </c>
      <c r="D224" s="1229">
        <v>1</v>
      </c>
      <c r="E224" s="1229">
        <v>1</v>
      </c>
      <c r="F224" s="1149">
        <f t="shared" si="43"/>
        <v>66</v>
      </c>
      <c r="G224" s="1229">
        <v>40</v>
      </c>
      <c r="H224" s="962">
        <f t="shared" si="45"/>
        <v>160</v>
      </c>
      <c r="I224" s="1150">
        <f t="shared" si="44"/>
        <v>66</v>
      </c>
      <c r="J224" s="1145"/>
      <c r="K224" s="1225"/>
      <c r="L224" s="1226"/>
      <c r="M224" s="960"/>
      <c r="N224" s="960"/>
      <c r="O224" s="960"/>
      <c r="P224" s="960"/>
      <c r="Q224" s="1127"/>
    </row>
    <row r="225" spans="1:17" s="613" customFormat="1" ht="25" customHeight="1">
      <c r="A225" s="1227" t="s">
        <v>282</v>
      </c>
      <c r="B225" s="1178" t="s">
        <v>440</v>
      </c>
      <c r="C225" s="968">
        <v>2</v>
      </c>
      <c r="D225" s="1160">
        <v>1</v>
      </c>
      <c r="E225" s="1160">
        <v>1</v>
      </c>
      <c r="F225" s="1230">
        <f>I225+J225+K225</f>
        <v>33</v>
      </c>
      <c r="G225" s="1160">
        <v>40</v>
      </c>
      <c r="H225" s="962">
        <f t="shared" si="45"/>
        <v>80</v>
      </c>
      <c r="I225" s="1150">
        <f>IF(G225&lt;70, C225*E225*16.5*1, C225*E225*16.5*1.3)</f>
        <v>33</v>
      </c>
      <c r="J225" s="1145"/>
      <c r="K225" s="1225"/>
      <c r="L225" s="1226"/>
      <c r="M225" s="960"/>
      <c r="N225" s="960"/>
      <c r="O225" s="960"/>
      <c r="P225" s="960"/>
      <c r="Q225" s="1127"/>
    </row>
    <row r="226" spans="1:17" s="613" customFormat="1" ht="25" customHeight="1">
      <c r="A226" s="1227" t="s">
        <v>283</v>
      </c>
      <c r="B226" s="1178" t="s">
        <v>449</v>
      </c>
      <c r="C226" s="960">
        <v>4</v>
      </c>
      <c r="D226" s="960">
        <v>1</v>
      </c>
      <c r="E226" s="960">
        <v>1</v>
      </c>
      <c r="F226" s="1230">
        <f>I226+J226+K226</f>
        <v>66</v>
      </c>
      <c r="G226" s="960">
        <v>40</v>
      </c>
      <c r="H226" s="962">
        <f t="shared" si="45"/>
        <v>160</v>
      </c>
      <c r="I226" s="1150">
        <f>IF(G226&lt;70, C226*E226*16.5*1, C226*E226*16.5*1.3)</f>
        <v>66</v>
      </c>
      <c r="J226" s="1145"/>
      <c r="K226" s="1225"/>
      <c r="L226" s="1226"/>
      <c r="M226" s="960"/>
      <c r="N226" s="960"/>
      <c r="O226" s="960"/>
      <c r="P226" s="960"/>
      <c r="Q226" s="1127"/>
    </row>
    <row r="227" spans="1:17" s="613" customFormat="1" ht="25" customHeight="1">
      <c r="A227" s="1227" t="s">
        <v>284</v>
      </c>
      <c r="B227" s="1178" t="s">
        <v>450</v>
      </c>
      <c r="C227" s="960">
        <v>4</v>
      </c>
      <c r="D227" s="960">
        <v>1</v>
      </c>
      <c r="E227" s="960">
        <v>1</v>
      </c>
      <c r="F227" s="1230">
        <f>I227+J227+K227</f>
        <v>66</v>
      </c>
      <c r="G227" s="960">
        <v>40</v>
      </c>
      <c r="H227" s="962">
        <f t="shared" si="45"/>
        <v>160</v>
      </c>
      <c r="I227" s="1150">
        <f>IF(G227&lt;70, C227*E227*16.5*1, C227*E227*16.5*1.3)</f>
        <v>66</v>
      </c>
      <c r="J227" s="1145"/>
      <c r="K227" s="1225"/>
      <c r="L227" s="1226"/>
      <c r="M227" s="960"/>
      <c r="N227" s="960"/>
      <c r="O227" s="960"/>
      <c r="P227" s="960"/>
      <c r="Q227" s="1127"/>
    </row>
    <row r="228" spans="1:17" s="613" customFormat="1" ht="25" customHeight="1">
      <c r="A228" s="1227" t="s">
        <v>287</v>
      </c>
      <c r="B228" s="1178" t="s">
        <v>451</v>
      </c>
      <c r="C228" s="960">
        <v>3</v>
      </c>
      <c r="D228" s="960">
        <v>1</v>
      </c>
      <c r="E228" s="960">
        <v>1</v>
      </c>
      <c r="F228" s="1230">
        <f>I228+J228+K228</f>
        <v>49.5</v>
      </c>
      <c r="G228" s="960">
        <v>40</v>
      </c>
      <c r="H228" s="962">
        <f t="shared" si="45"/>
        <v>120</v>
      </c>
      <c r="I228" s="1150">
        <f>IF(G228&lt;70, C228*E228*16.5*1, C228*E228*16.5*1.3)</f>
        <v>49.5</v>
      </c>
      <c r="J228" s="1145"/>
      <c r="K228" s="1225"/>
      <c r="L228" s="1226"/>
      <c r="M228" s="960"/>
      <c r="N228" s="960"/>
      <c r="O228" s="960"/>
      <c r="P228" s="960"/>
      <c r="Q228" s="1127"/>
    </row>
    <row r="229" spans="1:17" s="613" customFormat="1" ht="25" customHeight="1">
      <c r="A229" s="1227" t="s">
        <v>288</v>
      </c>
      <c r="B229" s="1178" t="s">
        <v>452</v>
      </c>
      <c r="C229" s="960">
        <v>1</v>
      </c>
      <c r="D229" s="960">
        <v>1.3</v>
      </c>
      <c r="E229" s="960">
        <v>1</v>
      </c>
      <c r="F229" s="1230">
        <f>I229+J229+K229</f>
        <v>16.5</v>
      </c>
      <c r="G229" s="960">
        <v>40</v>
      </c>
      <c r="H229" s="962">
        <f t="shared" si="45"/>
        <v>52</v>
      </c>
      <c r="I229" s="1150">
        <f>IF(G229&lt;70, C229*E229*16.5*1, C229*E229*16.5*1.3)</f>
        <v>16.5</v>
      </c>
      <c r="J229" s="1145"/>
      <c r="K229" s="1225"/>
      <c r="L229" s="1226"/>
      <c r="M229" s="960"/>
      <c r="N229" s="960"/>
      <c r="O229" s="960"/>
      <c r="P229" s="960"/>
      <c r="Q229" s="1127"/>
    </row>
    <row r="230" spans="1:17" s="613" customFormat="1" ht="25" customHeight="1">
      <c r="A230" s="1162" t="s">
        <v>146</v>
      </c>
      <c r="B230" s="1221" t="s">
        <v>149</v>
      </c>
      <c r="C230" s="962"/>
      <c r="D230" s="962"/>
      <c r="E230" s="962"/>
      <c r="F230" s="962"/>
      <c r="G230" s="962"/>
      <c r="H230" s="962"/>
      <c r="I230" s="1156"/>
      <c r="J230" s="1156"/>
      <c r="K230" s="1225"/>
      <c r="L230" s="1226"/>
      <c r="M230" s="960"/>
      <c r="N230" s="960"/>
      <c r="O230" s="960"/>
      <c r="P230" s="960"/>
      <c r="Q230" s="1127"/>
    </row>
    <row r="231" spans="1:17" s="613" customFormat="1" ht="25" customHeight="1">
      <c r="A231" s="1165" t="s">
        <v>230</v>
      </c>
      <c r="B231" s="1217" t="s">
        <v>152</v>
      </c>
      <c r="C231" s="962"/>
      <c r="D231" s="962"/>
      <c r="E231" s="962"/>
      <c r="F231" s="962"/>
      <c r="G231" s="962"/>
      <c r="H231" s="962"/>
      <c r="I231" s="1156"/>
      <c r="J231" s="1156"/>
      <c r="K231" s="1225"/>
      <c r="L231" s="1226"/>
      <c r="M231" s="960"/>
      <c r="N231" s="960"/>
      <c r="O231" s="960"/>
      <c r="P231" s="960"/>
      <c r="Q231" s="1127"/>
    </row>
    <row r="232" spans="1:17" s="613" customFormat="1" ht="25" customHeight="1">
      <c r="A232" s="1165" t="s">
        <v>231</v>
      </c>
      <c r="B232" s="1217" t="s">
        <v>151</v>
      </c>
      <c r="C232" s="962"/>
      <c r="D232" s="962"/>
      <c r="E232" s="962"/>
      <c r="F232" s="962"/>
      <c r="G232" s="962"/>
      <c r="H232" s="962"/>
      <c r="I232" s="1156"/>
      <c r="J232" s="1156"/>
      <c r="K232" s="1225"/>
      <c r="L232" s="1226"/>
      <c r="M232" s="960"/>
      <c r="N232" s="960"/>
      <c r="O232" s="960"/>
      <c r="P232" s="960"/>
      <c r="Q232" s="1127"/>
    </row>
    <row r="233" spans="1:17" s="613" customFormat="1" ht="25" customHeight="1">
      <c r="A233" s="1179" t="s">
        <v>232</v>
      </c>
      <c r="B233" s="1231" t="s">
        <v>154</v>
      </c>
      <c r="C233" s="1189">
        <v>5</v>
      </c>
      <c r="D233" s="1189">
        <v>1.3</v>
      </c>
      <c r="E233" s="1189">
        <v>1</v>
      </c>
      <c r="F233" s="1232">
        <f>I233+J233+K233</f>
        <v>42</v>
      </c>
      <c r="G233" s="1189">
        <v>21</v>
      </c>
      <c r="H233" s="1189">
        <f>C233*E233*G233*D233</f>
        <v>136.5</v>
      </c>
      <c r="I233" s="1182">
        <f>21*2</f>
        <v>42</v>
      </c>
      <c r="J233" s="1182"/>
      <c r="K233" s="1233"/>
      <c r="L233" s="1226"/>
      <c r="M233" s="960"/>
      <c r="N233" s="960"/>
      <c r="O233" s="960"/>
      <c r="P233" s="960"/>
      <c r="Q233" s="1127"/>
    </row>
    <row r="234" spans="1:17" s="613" customFormat="1" ht="25" customHeight="1">
      <c r="A234" s="1179" t="s">
        <v>233</v>
      </c>
      <c r="B234" s="1217" t="s">
        <v>155</v>
      </c>
      <c r="C234" s="962"/>
      <c r="D234" s="962"/>
      <c r="E234" s="962"/>
      <c r="F234" s="962"/>
      <c r="G234" s="962"/>
      <c r="H234" s="962"/>
      <c r="I234" s="1156"/>
      <c r="J234" s="1156"/>
      <c r="K234" s="1225"/>
      <c r="L234" s="1226"/>
      <c r="M234" s="960"/>
      <c r="N234" s="960"/>
      <c r="O234" s="960"/>
      <c r="P234" s="960"/>
      <c r="Q234" s="1127"/>
    </row>
    <row r="235" spans="1:17" s="613" customFormat="1" ht="25" customHeight="1">
      <c r="A235" s="1175"/>
      <c r="B235" s="1176" t="s">
        <v>375</v>
      </c>
      <c r="C235" s="1234">
        <f>SUM(C217:C234)</f>
        <v>41</v>
      </c>
      <c r="D235" s="1234">
        <f t="shared" ref="D235:I235" si="46">SUM(D217:D234)</f>
        <v>14.600000000000001</v>
      </c>
      <c r="E235" s="1234">
        <f t="shared" si="46"/>
        <v>15</v>
      </c>
      <c r="F235" s="1234">
        <f>SUM(F217:F234)</f>
        <v>723.45</v>
      </c>
      <c r="G235" s="1234">
        <f t="shared" si="46"/>
        <v>691</v>
      </c>
      <c r="H235" s="1234">
        <f t="shared" si="46"/>
        <v>2068.5</v>
      </c>
      <c r="I235" s="1234">
        <f t="shared" si="46"/>
        <v>723.45</v>
      </c>
      <c r="J235" s="1234">
        <f>SUM(J217:J234)</f>
        <v>0</v>
      </c>
      <c r="K235" s="1234">
        <f>SUM(K217:K234)</f>
        <v>0</v>
      </c>
      <c r="L235" s="1226"/>
      <c r="M235" s="960"/>
      <c r="N235" s="960"/>
      <c r="O235" s="960"/>
      <c r="P235" s="960"/>
      <c r="Q235" s="1127"/>
    </row>
    <row r="236" spans="1:17" s="613" customFormat="1" ht="25" customHeight="1">
      <c r="A236" s="1138">
        <v>2</v>
      </c>
      <c r="B236" s="1142" t="s">
        <v>162</v>
      </c>
      <c r="C236" s="962"/>
      <c r="D236" s="962"/>
      <c r="E236" s="962"/>
      <c r="F236" s="962"/>
      <c r="G236" s="962"/>
      <c r="H236" s="962"/>
      <c r="I236" s="1156"/>
      <c r="J236" s="1156"/>
      <c r="K236" s="1225"/>
      <c r="L236" s="1226"/>
      <c r="M236" s="960"/>
      <c r="N236" s="960"/>
      <c r="O236" s="960"/>
      <c r="P236" s="960"/>
      <c r="Q236" s="1127"/>
    </row>
    <row r="237" spans="1:17" s="613" customFormat="1" ht="25" customHeight="1">
      <c r="A237" s="1143" t="s">
        <v>145</v>
      </c>
      <c r="B237" s="1144" t="s">
        <v>163</v>
      </c>
      <c r="C237" s="962"/>
      <c r="D237" s="962"/>
      <c r="E237" s="962"/>
      <c r="F237" s="962"/>
      <c r="G237" s="962"/>
      <c r="H237" s="962"/>
      <c r="I237" s="1156"/>
      <c r="J237" s="1156"/>
      <c r="K237" s="1225"/>
      <c r="L237" s="1226"/>
      <c r="M237" s="960"/>
      <c r="N237" s="960"/>
      <c r="O237" s="960"/>
      <c r="P237" s="960"/>
      <c r="Q237" s="1127"/>
    </row>
    <row r="238" spans="1:17" s="613" customFormat="1" ht="25" customHeight="1">
      <c r="A238" s="1147" t="s">
        <v>224</v>
      </c>
      <c r="B238" s="1172" t="s">
        <v>453</v>
      </c>
      <c r="C238" s="962">
        <v>3</v>
      </c>
      <c r="D238" s="962">
        <v>1</v>
      </c>
      <c r="E238" s="960">
        <v>6</v>
      </c>
      <c r="F238" s="1149">
        <f t="shared" ref="F238:F250" si="47">I238+J238+K24</f>
        <v>207.89999999999998</v>
      </c>
      <c r="G238" s="962">
        <v>30</v>
      </c>
      <c r="H238" s="962">
        <f>C238*E238*G238</f>
        <v>540</v>
      </c>
      <c r="I238" s="1150">
        <f t="shared" ref="I238:I245" si="48">C238*E238*16.5*0.7</f>
        <v>207.89999999999998</v>
      </c>
      <c r="J238" s="1156"/>
      <c r="K238" s="1225"/>
      <c r="L238" s="1226"/>
      <c r="M238" s="960"/>
      <c r="N238" s="960"/>
      <c r="O238" s="960"/>
      <c r="P238" s="960"/>
      <c r="Q238" s="1127"/>
    </row>
    <row r="239" spans="1:17" s="613" customFormat="1" ht="25" customHeight="1">
      <c r="A239" s="1147" t="s">
        <v>225</v>
      </c>
      <c r="B239" s="1172" t="s">
        <v>454</v>
      </c>
      <c r="C239" s="962">
        <v>3</v>
      </c>
      <c r="D239" s="962">
        <v>1</v>
      </c>
      <c r="E239" s="960">
        <v>6</v>
      </c>
      <c r="F239" s="1149">
        <f t="shared" si="47"/>
        <v>207.89999999999998</v>
      </c>
      <c r="G239" s="962">
        <v>30</v>
      </c>
      <c r="H239" s="962">
        <f t="shared" ref="H239:H250" si="49">C239*E239*G239</f>
        <v>540</v>
      </c>
      <c r="I239" s="1150">
        <f t="shared" si="48"/>
        <v>207.89999999999998</v>
      </c>
      <c r="J239" s="1156"/>
      <c r="K239" s="1225"/>
      <c r="L239" s="1226"/>
      <c r="M239" s="960"/>
      <c r="N239" s="960"/>
      <c r="O239" s="960"/>
      <c r="P239" s="960"/>
      <c r="Q239" s="1127"/>
    </row>
    <row r="240" spans="1:17" s="613" customFormat="1" ht="25" customHeight="1">
      <c r="A240" s="1147" t="s">
        <v>226</v>
      </c>
      <c r="B240" s="1172" t="s">
        <v>455</v>
      </c>
      <c r="C240" s="962">
        <v>3</v>
      </c>
      <c r="D240" s="962">
        <v>1</v>
      </c>
      <c r="E240" s="960">
        <v>2</v>
      </c>
      <c r="F240" s="1149">
        <f t="shared" si="47"/>
        <v>69.3</v>
      </c>
      <c r="G240" s="962">
        <v>30</v>
      </c>
      <c r="H240" s="962">
        <f t="shared" si="49"/>
        <v>180</v>
      </c>
      <c r="I240" s="1150">
        <f t="shared" si="48"/>
        <v>69.3</v>
      </c>
      <c r="J240" s="1156"/>
      <c r="K240" s="1225"/>
      <c r="L240" s="1226"/>
      <c r="M240" s="960"/>
      <c r="N240" s="960"/>
      <c r="O240" s="960"/>
      <c r="P240" s="960"/>
      <c r="Q240" s="1127"/>
    </row>
    <row r="241" spans="1:17" s="613" customFormat="1" ht="25" customHeight="1">
      <c r="A241" s="1147" t="s">
        <v>227</v>
      </c>
      <c r="B241" s="1172" t="s">
        <v>456</v>
      </c>
      <c r="C241" s="962">
        <v>3</v>
      </c>
      <c r="D241" s="962">
        <v>1</v>
      </c>
      <c r="E241" s="960">
        <v>2</v>
      </c>
      <c r="F241" s="1149">
        <f t="shared" si="47"/>
        <v>69.3</v>
      </c>
      <c r="G241" s="962">
        <v>30</v>
      </c>
      <c r="H241" s="962">
        <f t="shared" si="49"/>
        <v>180</v>
      </c>
      <c r="I241" s="1150">
        <f t="shared" si="48"/>
        <v>69.3</v>
      </c>
      <c r="J241" s="1156"/>
      <c r="K241" s="1225"/>
      <c r="L241" s="1226"/>
      <c r="M241" s="960"/>
      <c r="N241" s="960"/>
      <c r="O241" s="960"/>
      <c r="P241" s="960"/>
      <c r="Q241" s="1127"/>
    </row>
    <row r="242" spans="1:17" s="613" customFormat="1" ht="25" customHeight="1">
      <c r="A242" s="1147" t="s">
        <v>228</v>
      </c>
      <c r="B242" s="1173" t="s">
        <v>457</v>
      </c>
      <c r="C242" s="962">
        <v>3</v>
      </c>
      <c r="D242" s="962">
        <v>1</v>
      </c>
      <c r="E242" s="960">
        <v>6</v>
      </c>
      <c r="F242" s="1149">
        <f t="shared" si="47"/>
        <v>207.89999999999998</v>
      </c>
      <c r="G242" s="962">
        <v>30</v>
      </c>
      <c r="H242" s="962">
        <f t="shared" si="49"/>
        <v>540</v>
      </c>
      <c r="I242" s="1150">
        <f t="shared" si="48"/>
        <v>207.89999999999998</v>
      </c>
      <c r="J242" s="1156"/>
      <c r="K242" s="1225"/>
      <c r="L242" s="1226"/>
      <c r="M242" s="960"/>
      <c r="N242" s="960"/>
      <c r="O242" s="960"/>
      <c r="P242" s="960"/>
      <c r="Q242" s="1127"/>
    </row>
    <row r="243" spans="1:17" s="613" customFormat="1" ht="25" customHeight="1">
      <c r="A243" s="1147" t="s">
        <v>229</v>
      </c>
      <c r="B243" s="1173" t="s">
        <v>458</v>
      </c>
      <c r="C243" s="962">
        <v>3</v>
      </c>
      <c r="D243" s="962">
        <v>1</v>
      </c>
      <c r="E243" s="960">
        <v>6</v>
      </c>
      <c r="F243" s="1149">
        <f t="shared" si="47"/>
        <v>207.89999999999998</v>
      </c>
      <c r="G243" s="962">
        <v>30</v>
      </c>
      <c r="H243" s="962">
        <f t="shared" si="49"/>
        <v>540</v>
      </c>
      <c r="I243" s="1150">
        <f t="shared" si="48"/>
        <v>207.89999999999998</v>
      </c>
      <c r="J243" s="1156"/>
      <c r="K243" s="1235"/>
      <c r="L243" s="1145"/>
      <c r="M243" s="962"/>
      <c r="N243" s="962"/>
      <c r="O243" s="962"/>
      <c r="P243" s="962"/>
      <c r="Q243" s="1164"/>
    </row>
    <row r="244" spans="1:17" s="613" customFormat="1" ht="25" customHeight="1">
      <c r="A244" s="1147" t="s">
        <v>280</v>
      </c>
      <c r="B244" s="1173" t="s">
        <v>459</v>
      </c>
      <c r="C244" s="962">
        <v>3</v>
      </c>
      <c r="D244" s="962">
        <v>1</v>
      </c>
      <c r="E244" s="960">
        <v>2</v>
      </c>
      <c r="F244" s="1149">
        <f t="shared" si="47"/>
        <v>69.3</v>
      </c>
      <c r="G244" s="962">
        <v>30</v>
      </c>
      <c r="H244" s="962">
        <f t="shared" si="49"/>
        <v>180</v>
      </c>
      <c r="I244" s="1150">
        <f t="shared" si="48"/>
        <v>69.3</v>
      </c>
      <c r="J244" s="1156"/>
      <c r="K244" s="1132"/>
      <c r="L244" s="1132"/>
      <c r="M244" s="962"/>
      <c r="N244" s="962"/>
      <c r="O244" s="962"/>
      <c r="P244" s="962"/>
      <c r="Q244" s="1164"/>
    </row>
    <row r="245" spans="1:17" s="613" customFormat="1" ht="25" customHeight="1">
      <c r="A245" s="1147" t="s">
        <v>281</v>
      </c>
      <c r="B245" s="1173" t="s">
        <v>460</v>
      </c>
      <c r="C245" s="962">
        <v>3</v>
      </c>
      <c r="D245" s="962">
        <v>1</v>
      </c>
      <c r="E245" s="960">
        <v>2</v>
      </c>
      <c r="F245" s="1149">
        <f t="shared" si="47"/>
        <v>69.3</v>
      </c>
      <c r="G245" s="962">
        <v>30</v>
      </c>
      <c r="H245" s="962">
        <f t="shared" si="49"/>
        <v>180</v>
      </c>
      <c r="I245" s="1150">
        <f t="shared" si="48"/>
        <v>69.3</v>
      </c>
      <c r="J245" s="1156"/>
      <c r="K245" s="1235"/>
      <c r="L245" s="1132"/>
      <c r="M245" s="962"/>
      <c r="N245" s="962"/>
      <c r="O245" s="962"/>
      <c r="P245" s="962"/>
      <c r="Q245" s="1164"/>
    </row>
    <row r="246" spans="1:17" s="613" customFormat="1" ht="25" customHeight="1">
      <c r="A246" s="1147" t="s">
        <v>282</v>
      </c>
      <c r="B246" s="1173" t="s">
        <v>461</v>
      </c>
      <c r="C246" s="962">
        <v>3</v>
      </c>
      <c r="D246" s="962">
        <v>1</v>
      </c>
      <c r="E246" s="960">
        <v>6</v>
      </c>
      <c r="F246" s="1149">
        <f t="shared" si="47"/>
        <v>207.89999999999998</v>
      </c>
      <c r="G246" s="962">
        <v>30</v>
      </c>
      <c r="H246" s="962">
        <f t="shared" si="49"/>
        <v>540</v>
      </c>
      <c r="I246" s="1207"/>
      <c r="J246" s="1150">
        <f>C246*E246*16.5*0.7</f>
        <v>207.89999999999998</v>
      </c>
      <c r="K246" s="1132"/>
      <c r="L246" s="1132"/>
      <c r="M246" s="962"/>
      <c r="N246" s="962"/>
      <c r="O246" s="962"/>
      <c r="P246" s="962"/>
      <c r="Q246" s="1164"/>
    </row>
    <row r="247" spans="1:17" s="613" customFormat="1" ht="25" customHeight="1">
      <c r="A247" s="1147" t="s">
        <v>283</v>
      </c>
      <c r="B247" s="1173" t="s">
        <v>462</v>
      </c>
      <c r="C247" s="962">
        <v>3</v>
      </c>
      <c r="D247" s="962">
        <v>1</v>
      </c>
      <c r="E247" s="960">
        <v>6</v>
      </c>
      <c r="F247" s="1149">
        <f t="shared" si="47"/>
        <v>207.89999999999998</v>
      </c>
      <c r="G247" s="962">
        <v>30</v>
      </c>
      <c r="H247" s="962">
        <f t="shared" si="49"/>
        <v>540</v>
      </c>
      <c r="I247" s="1207"/>
      <c r="J247" s="1150">
        <f>C247*E247*16.5*0.7</f>
        <v>207.89999999999998</v>
      </c>
      <c r="K247" s="1132"/>
      <c r="L247" s="1132"/>
      <c r="M247" s="962"/>
      <c r="N247" s="962"/>
      <c r="O247" s="962"/>
      <c r="P247" s="962"/>
      <c r="Q247" s="1164"/>
    </row>
    <row r="248" spans="1:17" s="615" customFormat="1" ht="25" customHeight="1">
      <c r="A248" s="1147" t="s">
        <v>284</v>
      </c>
      <c r="B248" s="1173" t="s">
        <v>463</v>
      </c>
      <c r="C248" s="962">
        <v>3</v>
      </c>
      <c r="D248" s="962">
        <v>1</v>
      </c>
      <c r="E248" s="960">
        <v>2</v>
      </c>
      <c r="F248" s="1149">
        <f t="shared" si="47"/>
        <v>69.3</v>
      </c>
      <c r="G248" s="962">
        <v>30</v>
      </c>
      <c r="H248" s="962">
        <f t="shared" si="49"/>
        <v>180</v>
      </c>
      <c r="I248" s="1201"/>
      <c r="J248" s="1150">
        <f>C248*E248*16.5*0.7</f>
        <v>69.3</v>
      </c>
      <c r="K248" s="1236"/>
      <c r="L248" s="1156"/>
      <c r="M248" s="962"/>
      <c r="N248" s="962"/>
      <c r="O248" s="962"/>
      <c r="P248" s="962"/>
      <c r="Q248" s="1164"/>
    </row>
    <row r="249" spans="1:17" s="615" customFormat="1" ht="25" customHeight="1">
      <c r="A249" s="1147" t="s">
        <v>287</v>
      </c>
      <c r="B249" s="1173" t="s">
        <v>464</v>
      </c>
      <c r="C249" s="962">
        <v>3</v>
      </c>
      <c r="D249" s="962">
        <v>1</v>
      </c>
      <c r="E249" s="960">
        <v>2</v>
      </c>
      <c r="F249" s="1149">
        <f t="shared" si="47"/>
        <v>69.3</v>
      </c>
      <c r="G249" s="962">
        <v>30</v>
      </c>
      <c r="H249" s="962">
        <f t="shared" si="49"/>
        <v>180</v>
      </c>
      <c r="I249" s="1201"/>
      <c r="J249" s="1150">
        <f>C249*E249*16.5*0.7</f>
        <v>69.3</v>
      </c>
      <c r="K249" s="1236"/>
      <c r="L249" s="1156"/>
      <c r="M249" s="962"/>
      <c r="N249" s="962"/>
      <c r="O249" s="962"/>
      <c r="P249" s="962"/>
      <c r="Q249" s="1164"/>
    </row>
    <row r="250" spans="1:17" s="615" customFormat="1" ht="25" customHeight="1">
      <c r="A250" s="1147" t="s">
        <v>288</v>
      </c>
      <c r="B250" s="1173" t="s">
        <v>458</v>
      </c>
      <c r="C250" s="962">
        <v>3</v>
      </c>
      <c r="D250" s="962">
        <v>1</v>
      </c>
      <c r="E250" s="960">
        <v>6</v>
      </c>
      <c r="F250" s="1149">
        <f t="shared" si="47"/>
        <v>207.89999999999998</v>
      </c>
      <c r="G250" s="962">
        <v>30</v>
      </c>
      <c r="H250" s="962">
        <f t="shared" si="49"/>
        <v>540</v>
      </c>
      <c r="I250" s="1156"/>
      <c r="J250" s="1150">
        <f>C250*E250*16.5*0.7</f>
        <v>207.89999999999998</v>
      </c>
      <c r="K250" s="1237"/>
      <c r="L250" s="1237"/>
      <c r="M250" s="1238"/>
      <c r="N250" s="1238"/>
      <c r="O250" s="1238"/>
      <c r="P250" s="1238"/>
      <c r="Q250" s="1239"/>
    </row>
    <row r="251" spans="1:17" s="615" customFormat="1" ht="25" customHeight="1">
      <c r="A251" s="1162" t="s">
        <v>146</v>
      </c>
      <c r="B251" s="1221" t="s">
        <v>791</v>
      </c>
      <c r="C251" s="962"/>
      <c r="D251" s="962"/>
      <c r="E251" s="962"/>
      <c r="F251" s="962"/>
      <c r="G251" s="962"/>
      <c r="H251" s="962"/>
      <c r="I251" s="1156"/>
      <c r="J251" s="1156"/>
      <c r="K251" s="1237"/>
      <c r="L251" s="1237"/>
      <c r="M251" s="1238"/>
      <c r="N251" s="1238"/>
      <c r="O251" s="1238"/>
      <c r="P251" s="1238"/>
      <c r="Q251" s="1239"/>
    </row>
    <row r="252" spans="1:17" s="615" customFormat="1" ht="25" customHeight="1">
      <c r="A252" s="1165" t="s">
        <v>505</v>
      </c>
      <c r="B252" s="1217" t="s">
        <v>466</v>
      </c>
      <c r="C252" s="962">
        <v>15</v>
      </c>
      <c r="D252" s="962">
        <v>1</v>
      </c>
      <c r="E252" s="962">
        <v>1</v>
      </c>
      <c r="F252" s="1149">
        <f>I252+J252+K252</f>
        <v>175</v>
      </c>
      <c r="G252" s="962">
        <v>5</v>
      </c>
      <c r="H252" s="962">
        <f>C252*G252</f>
        <v>75</v>
      </c>
      <c r="I252" s="1150">
        <f>G252*35</f>
        <v>175</v>
      </c>
      <c r="J252" s="1156"/>
      <c r="K252" s="1237"/>
      <c r="L252" s="1240"/>
      <c r="M252" s="1240"/>
      <c r="N252" s="1240"/>
      <c r="O252" s="1240"/>
      <c r="P252" s="1240"/>
      <c r="Q252" s="1241"/>
    </row>
    <row r="253" spans="1:17" s="615" customFormat="1" ht="25" customHeight="1">
      <c r="A253" s="1165" t="s">
        <v>506</v>
      </c>
      <c r="B253" s="1217" t="s">
        <v>650</v>
      </c>
      <c r="C253" s="962">
        <v>15</v>
      </c>
      <c r="D253" s="962">
        <v>1</v>
      </c>
      <c r="E253" s="962">
        <v>1</v>
      </c>
      <c r="F253" s="1149">
        <f>I253+K253+J253</f>
        <v>245</v>
      </c>
      <c r="G253" s="962">
        <v>7</v>
      </c>
      <c r="H253" s="962">
        <f t="shared" ref="H253:H266" si="50">C253*G253</f>
        <v>105</v>
      </c>
      <c r="I253" s="1150"/>
      <c r="J253" s="1201"/>
      <c r="K253" s="1150">
        <f>G253*35</f>
        <v>245</v>
      </c>
      <c r="L253" s="1238"/>
      <c r="M253" s="1238"/>
      <c r="N253" s="1238"/>
      <c r="O253" s="1238"/>
      <c r="P253" s="1238"/>
      <c r="Q253" s="1239"/>
    </row>
    <row r="254" spans="1:17" s="615" customFormat="1" ht="25" customHeight="1">
      <c r="A254" s="1165" t="s">
        <v>507</v>
      </c>
      <c r="B254" s="1217" t="s">
        <v>467</v>
      </c>
      <c r="C254" s="962">
        <v>15</v>
      </c>
      <c r="D254" s="962">
        <v>1</v>
      </c>
      <c r="E254" s="962">
        <v>1</v>
      </c>
      <c r="F254" s="1149">
        <f t="shared" ref="F254:F267" si="51">I254+J254+K254</f>
        <v>175</v>
      </c>
      <c r="G254" s="962">
        <v>5</v>
      </c>
      <c r="H254" s="962">
        <f t="shared" si="50"/>
        <v>75</v>
      </c>
      <c r="I254" s="1150">
        <f>G254*35</f>
        <v>175</v>
      </c>
      <c r="J254" s="1150"/>
      <c r="K254" s="1237"/>
      <c r="L254" s="1242"/>
      <c r="M254" s="1242"/>
      <c r="N254" s="1242"/>
      <c r="O254" s="1242"/>
      <c r="P254" s="1242"/>
      <c r="Q254" s="1243"/>
    </row>
    <row r="255" spans="1:17" s="615" customFormat="1" ht="25" customHeight="1">
      <c r="A255" s="1165" t="s">
        <v>508</v>
      </c>
      <c r="B255" s="1217" t="s">
        <v>468</v>
      </c>
      <c r="C255" s="962">
        <v>15</v>
      </c>
      <c r="D255" s="962">
        <v>1</v>
      </c>
      <c r="E255" s="962">
        <v>1</v>
      </c>
      <c r="F255" s="1149">
        <f t="shared" si="51"/>
        <v>175</v>
      </c>
      <c r="G255" s="962">
        <v>5</v>
      </c>
      <c r="H255" s="962">
        <f t="shared" si="50"/>
        <v>75</v>
      </c>
      <c r="I255" s="1156"/>
      <c r="J255" s="1150">
        <f>G255*35</f>
        <v>175</v>
      </c>
      <c r="K255" s="1237"/>
      <c r="L255" s="1237"/>
      <c r="M255" s="1264"/>
      <c r="N255" s="1264"/>
      <c r="O255" s="1264"/>
      <c r="P255" s="1264"/>
      <c r="Q255" s="1265"/>
    </row>
    <row r="256" spans="1:17" s="615" customFormat="1" ht="25" customHeight="1">
      <c r="A256" s="1165" t="s">
        <v>509</v>
      </c>
      <c r="B256" s="1217" t="s">
        <v>469</v>
      </c>
      <c r="C256" s="962">
        <v>15</v>
      </c>
      <c r="D256" s="962">
        <v>1</v>
      </c>
      <c r="E256" s="962">
        <v>1</v>
      </c>
      <c r="F256" s="1149">
        <f t="shared" si="51"/>
        <v>175</v>
      </c>
      <c r="G256" s="962">
        <v>5</v>
      </c>
      <c r="H256" s="962">
        <f t="shared" si="50"/>
        <v>75</v>
      </c>
      <c r="I256" s="1156"/>
      <c r="J256" s="1150">
        <f>G256*35</f>
        <v>175</v>
      </c>
      <c r="K256" s="1237"/>
      <c r="L256" s="1237"/>
      <c r="M256" s="1238"/>
      <c r="N256" s="1238"/>
      <c r="O256" s="1238"/>
      <c r="P256" s="1238"/>
      <c r="Q256" s="1239"/>
    </row>
    <row r="257" spans="1:17" ht="25" customHeight="1">
      <c r="A257" s="1165" t="s">
        <v>510</v>
      </c>
      <c r="B257" s="1217" t="s">
        <v>501</v>
      </c>
      <c r="C257" s="962">
        <v>15</v>
      </c>
      <c r="D257" s="962">
        <v>1</v>
      </c>
      <c r="E257" s="962">
        <v>1</v>
      </c>
      <c r="F257" s="1149">
        <f t="shared" si="51"/>
        <v>175</v>
      </c>
      <c r="G257" s="962">
        <v>5</v>
      </c>
      <c r="H257" s="962">
        <f t="shared" si="50"/>
        <v>75</v>
      </c>
      <c r="I257" s="1150">
        <f t="shared" ref="I257:I262" si="52">G257*35</f>
        <v>175</v>
      </c>
      <c r="J257" s="1244"/>
      <c r="K257" s="1237"/>
      <c r="L257" s="1237"/>
      <c r="M257" s="1238"/>
      <c r="N257" s="1238"/>
      <c r="O257" s="1238"/>
      <c r="P257" s="1238"/>
      <c r="Q257" s="1239"/>
    </row>
    <row r="258" spans="1:17" ht="25" customHeight="1">
      <c r="A258" s="1165" t="s">
        <v>511</v>
      </c>
      <c r="B258" s="1217" t="s">
        <v>502</v>
      </c>
      <c r="C258" s="962">
        <v>15</v>
      </c>
      <c r="D258" s="962">
        <v>1</v>
      </c>
      <c r="E258" s="962">
        <v>1</v>
      </c>
      <c r="F258" s="1149">
        <f t="shared" si="51"/>
        <v>175</v>
      </c>
      <c r="G258" s="962">
        <v>5</v>
      </c>
      <c r="H258" s="962">
        <f t="shared" si="50"/>
        <v>75</v>
      </c>
      <c r="I258" s="1150">
        <f t="shared" si="52"/>
        <v>175</v>
      </c>
      <c r="J258" s="1244"/>
      <c r="K258" s="1237"/>
      <c r="L258" s="1237"/>
      <c r="M258" s="1245"/>
      <c r="N258" s="1245"/>
      <c r="O258" s="1245"/>
      <c r="P258" s="1245"/>
      <c r="Q258" s="1246"/>
    </row>
    <row r="259" spans="1:17" ht="25" customHeight="1">
      <c r="A259" s="1165" t="s">
        <v>512</v>
      </c>
      <c r="B259" s="1166" t="s">
        <v>503</v>
      </c>
      <c r="C259" s="962">
        <v>15</v>
      </c>
      <c r="D259" s="962">
        <v>1</v>
      </c>
      <c r="E259" s="962">
        <v>1</v>
      </c>
      <c r="F259" s="1149">
        <f t="shared" si="51"/>
        <v>175</v>
      </c>
      <c r="G259" s="962">
        <v>5</v>
      </c>
      <c r="H259" s="962">
        <f t="shared" si="50"/>
        <v>75</v>
      </c>
      <c r="I259" s="1150">
        <f t="shared" si="52"/>
        <v>175</v>
      </c>
      <c r="J259" s="1247"/>
      <c r="K259" s="1237"/>
      <c r="L259" s="1237"/>
      <c r="M259" s="1245"/>
      <c r="N259" s="1245"/>
      <c r="O259" s="1245"/>
      <c r="P259" s="1245"/>
      <c r="Q259" s="1246"/>
    </row>
    <row r="260" spans="1:17" ht="25" customHeight="1">
      <c r="A260" s="1165" t="s">
        <v>513</v>
      </c>
      <c r="B260" s="1166" t="s">
        <v>504</v>
      </c>
      <c r="C260" s="962">
        <v>15</v>
      </c>
      <c r="D260" s="962">
        <v>1</v>
      </c>
      <c r="E260" s="962">
        <v>1</v>
      </c>
      <c r="F260" s="1149">
        <f t="shared" si="51"/>
        <v>175</v>
      </c>
      <c r="G260" s="962">
        <v>5</v>
      </c>
      <c r="H260" s="962">
        <f t="shared" si="50"/>
        <v>75</v>
      </c>
      <c r="I260" s="1150">
        <f t="shared" si="52"/>
        <v>175</v>
      </c>
      <c r="J260" s="1150"/>
      <c r="K260" s="1237"/>
      <c r="L260" s="1237"/>
      <c r="M260" s="1245"/>
      <c r="N260" s="1245"/>
      <c r="O260" s="1245"/>
      <c r="P260" s="1245"/>
      <c r="Q260" s="1246"/>
    </row>
    <row r="261" spans="1:17" ht="25" customHeight="1">
      <c r="A261" s="1165" t="s">
        <v>514</v>
      </c>
      <c r="B261" s="1166" t="s">
        <v>551</v>
      </c>
      <c r="C261" s="962">
        <v>15</v>
      </c>
      <c r="D261" s="962">
        <v>1</v>
      </c>
      <c r="E261" s="962">
        <v>1</v>
      </c>
      <c r="F261" s="1149">
        <f t="shared" si="51"/>
        <v>175</v>
      </c>
      <c r="G261" s="962">
        <v>5</v>
      </c>
      <c r="H261" s="962">
        <f t="shared" si="50"/>
        <v>75</v>
      </c>
      <c r="I261" s="1150">
        <f t="shared" si="52"/>
        <v>175</v>
      </c>
      <c r="J261" s="1150"/>
      <c r="K261" s="1237"/>
      <c r="L261" s="1237"/>
      <c r="M261" s="1245"/>
      <c r="N261" s="1245"/>
      <c r="O261" s="1245"/>
      <c r="P261" s="1245"/>
      <c r="Q261" s="1246"/>
    </row>
    <row r="262" spans="1:17" ht="25" customHeight="1">
      <c r="A262" s="1165" t="s">
        <v>651</v>
      </c>
      <c r="B262" s="1166" t="s">
        <v>652</v>
      </c>
      <c r="C262" s="962">
        <v>15</v>
      </c>
      <c r="D262" s="962">
        <v>1</v>
      </c>
      <c r="E262" s="962">
        <v>1</v>
      </c>
      <c r="F262" s="1149">
        <f t="shared" si="51"/>
        <v>175</v>
      </c>
      <c r="G262" s="962">
        <v>5</v>
      </c>
      <c r="H262" s="962">
        <f t="shared" si="50"/>
        <v>75</v>
      </c>
      <c r="I262" s="1150">
        <f t="shared" si="52"/>
        <v>175</v>
      </c>
      <c r="J262" s="1150"/>
      <c r="K262" s="1237"/>
      <c r="L262" s="1237"/>
      <c r="M262" s="1245"/>
      <c r="N262" s="1245"/>
      <c r="O262" s="1245"/>
      <c r="P262" s="1245"/>
      <c r="Q262" s="1246"/>
    </row>
    <row r="263" spans="1:17" ht="25" customHeight="1">
      <c r="A263" s="1165" t="s">
        <v>653</v>
      </c>
      <c r="B263" s="1166" t="s">
        <v>1638</v>
      </c>
      <c r="C263" s="962">
        <v>15</v>
      </c>
      <c r="D263" s="962">
        <v>1</v>
      </c>
      <c r="E263" s="962">
        <v>1</v>
      </c>
      <c r="F263" s="1149">
        <f t="shared" si="51"/>
        <v>70</v>
      </c>
      <c r="G263" s="962">
        <v>2</v>
      </c>
      <c r="H263" s="962">
        <f>C263*G263</f>
        <v>30</v>
      </c>
      <c r="I263" s="1150"/>
      <c r="J263" s="1150">
        <f>G263*35</f>
        <v>70</v>
      </c>
      <c r="K263" s="1237"/>
      <c r="L263" s="1237"/>
      <c r="M263" s="1245"/>
      <c r="N263" s="1245"/>
      <c r="O263" s="1245"/>
      <c r="P263" s="1245"/>
      <c r="Q263" s="1246"/>
    </row>
    <row r="264" spans="1:17" ht="25" customHeight="1">
      <c r="A264" s="1165" t="s">
        <v>655</v>
      </c>
      <c r="B264" s="1166" t="s">
        <v>1637</v>
      </c>
      <c r="C264" s="962">
        <v>15</v>
      </c>
      <c r="D264" s="962">
        <v>1</v>
      </c>
      <c r="E264" s="962">
        <v>1</v>
      </c>
      <c r="F264" s="1149">
        <f t="shared" si="51"/>
        <v>70</v>
      </c>
      <c r="G264" s="962">
        <v>2</v>
      </c>
      <c r="H264" s="962">
        <f t="shared" si="50"/>
        <v>30</v>
      </c>
      <c r="I264" s="1150"/>
      <c r="J264" s="1150">
        <f>G264*35</f>
        <v>70</v>
      </c>
      <c r="K264" s="1237"/>
      <c r="L264" s="1237"/>
      <c r="M264" s="1245"/>
      <c r="N264" s="1245"/>
      <c r="O264" s="1245"/>
      <c r="P264" s="1245"/>
      <c r="Q264" s="1246"/>
    </row>
    <row r="265" spans="1:17" ht="25" customHeight="1">
      <c r="A265" s="1165"/>
      <c r="B265" s="1166" t="s">
        <v>1637</v>
      </c>
      <c r="C265" s="960">
        <v>15</v>
      </c>
      <c r="D265" s="960">
        <v>1</v>
      </c>
      <c r="E265" s="960">
        <v>1</v>
      </c>
      <c r="F265" s="1149"/>
      <c r="G265" s="962">
        <v>2</v>
      </c>
      <c r="H265" s="962">
        <f t="shared" si="50"/>
        <v>30</v>
      </c>
      <c r="I265" s="1150"/>
      <c r="J265" s="1150">
        <f>G265*35</f>
        <v>70</v>
      </c>
      <c r="K265" s="1237"/>
      <c r="L265" s="1237"/>
      <c r="M265" s="1245"/>
      <c r="N265" s="1245"/>
      <c r="O265" s="1245"/>
      <c r="P265" s="1245"/>
      <c r="Q265" s="1246"/>
    </row>
    <row r="266" spans="1:17" ht="25" customHeight="1">
      <c r="A266" s="1165"/>
      <c r="B266" s="1166" t="s">
        <v>1636</v>
      </c>
      <c r="C266" s="960">
        <v>15</v>
      </c>
      <c r="D266" s="960">
        <v>1</v>
      </c>
      <c r="E266" s="960">
        <v>1</v>
      </c>
      <c r="F266" s="1149"/>
      <c r="G266" s="962">
        <v>2</v>
      </c>
      <c r="H266" s="962">
        <f t="shared" si="50"/>
        <v>30</v>
      </c>
      <c r="I266" s="1150"/>
      <c r="J266" s="1150">
        <f>G266*35</f>
        <v>70</v>
      </c>
      <c r="K266" s="1237"/>
      <c r="L266" s="1237"/>
      <c r="M266" s="1245"/>
      <c r="N266" s="1245"/>
      <c r="O266" s="1245"/>
      <c r="P266" s="1245"/>
      <c r="Q266" s="1246"/>
    </row>
    <row r="267" spans="1:17" ht="25" customHeight="1">
      <c r="A267" s="1165"/>
      <c r="B267" s="1217" t="s">
        <v>930</v>
      </c>
      <c r="C267" s="962">
        <v>15</v>
      </c>
      <c r="D267" s="962">
        <v>1</v>
      </c>
      <c r="E267" s="962">
        <v>1</v>
      </c>
      <c r="F267" s="1149">
        <f t="shared" si="51"/>
        <v>2625</v>
      </c>
      <c r="G267" s="962">
        <v>75</v>
      </c>
      <c r="H267" s="962">
        <f>C267*G267</f>
        <v>1125</v>
      </c>
      <c r="I267" s="1150"/>
      <c r="J267" s="1150"/>
      <c r="K267" s="1150">
        <f>G267*35</f>
        <v>2625</v>
      </c>
      <c r="L267" s="1237"/>
      <c r="M267" s="1238"/>
      <c r="N267" s="1238"/>
      <c r="O267" s="1238"/>
      <c r="P267" s="1238"/>
      <c r="Q267" s="1239"/>
    </row>
    <row r="268" spans="1:17" ht="25" customHeight="1">
      <c r="A268" s="1167"/>
      <c r="B268" s="1168" t="s">
        <v>375</v>
      </c>
      <c r="C268" s="1169">
        <f>SUM(C238:C267)</f>
        <v>279</v>
      </c>
      <c r="D268" s="1169">
        <f t="shared" ref="D268:J268" si="53">SUM(D238:D267)</f>
        <v>29</v>
      </c>
      <c r="E268" s="1169">
        <f t="shared" si="53"/>
        <v>70</v>
      </c>
      <c r="F268" s="1169">
        <f t="shared" si="53"/>
        <v>6631.1</v>
      </c>
      <c r="G268" s="1169">
        <f t="shared" si="53"/>
        <v>530</v>
      </c>
      <c r="H268" s="1169">
        <f t="shared" si="53"/>
        <v>6960</v>
      </c>
      <c r="I268" s="1169">
        <f t="shared" si="53"/>
        <v>2508.8000000000002</v>
      </c>
      <c r="J268" s="1169">
        <f t="shared" si="53"/>
        <v>1392.3</v>
      </c>
      <c r="K268" s="1169">
        <f>SUM(K238:K267)</f>
        <v>2870</v>
      </c>
      <c r="L268" s="1237"/>
      <c r="M268" s="1238"/>
      <c r="N268" s="1238"/>
      <c r="O268" s="1238"/>
      <c r="P268" s="1238"/>
      <c r="Q268" s="1239"/>
    </row>
    <row r="269" spans="1:17" ht="25" customHeight="1">
      <c r="A269" s="1138">
        <v>3</v>
      </c>
      <c r="B269" s="1142" t="s">
        <v>164</v>
      </c>
      <c r="C269" s="962"/>
      <c r="D269" s="962"/>
      <c r="E269" s="962"/>
      <c r="F269" s="1149"/>
      <c r="G269" s="962"/>
      <c r="H269" s="962"/>
      <c r="I269" s="1150"/>
      <c r="J269" s="1156"/>
      <c r="K269" s="1237"/>
      <c r="L269" s="1237"/>
      <c r="M269" s="1238"/>
      <c r="N269" s="1238"/>
      <c r="O269" s="1238"/>
      <c r="P269" s="1238"/>
      <c r="Q269" s="1239"/>
    </row>
    <row r="270" spans="1:17" ht="25" customHeight="1">
      <c r="A270" s="1143" t="s">
        <v>145</v>
      </c>
      <c r="B270" s="1144" t="s">
        <v>165</v>
      </c>
      <c r="C270" s="962"/>
      <c r="D270" s="962"/>
      <c r="E270" s="962"/>
      <c r="F270" s="1149"/>
      <c r="G270" s="962"/>
      <c r="H270" s="962"/>
      <c r="I270" s="1150"/>
      <c r="J270" s="1156"/>
      <c r="K270" s="1237"/>
      <c r="L270" s="1237"/>
      <c r="M270" s="1238"/>
      <c r="N270" s="1238"/>
      <c r="O270" s="1238"/>
      <c r="P270" s="1238"/>
      <c r="Q270" s="1239"/>
    </row>
    <row r="271" spans="1:17" ht="25" customHeight="1">
      <c r="A271" s="1147" t="s">
        <v>224</v>
      </c>
      <c r="B271" s="1172" t="s">
        <v>470</v>
      </c>
      <c r="C271" s="962">
        <v>3</v>
      </c>
      <c r="D271" s="962">
        <v>1</v>
      </c>
      <c r="E271" s="962">
        <v>1</v>
      </c>
      <c r="F271" s="962">
        <f>I271+J271+K271</f>
        <v>99</v>
      </c>
      <c r="G271" s="962">
        <v>11</v>
      </c>
      <c r="H271" s="962">
        <f>C271*E271*G271</f>
        <v>33</v>
      </c>
      <c r="I271" s="1150"/>
      <c r="J271" s="1156"/>
      <c r="K271" s="1237">
        <f>IF(G271&lt;70, C271*E271*16.5*2, C271*E271*16.5*2)</f>
        <v>99</v>
      </c>
      <c r="L271" s="1237"/>
      <c r="M271" s="1238"/>
      <c r="N271" s="1238"/>
      <c r="O271" s="1238"/>
      <c r="P271" s="1238"/>
      <c r="Q271" s="1239"/>
    </row>
    <row r="272" spans="1:17" ht="25" customHeight="1">
      <c r="A272" s="1147" t="s">
        <v>225</v>
      </c>
      <c r="B272" s="1172" t="s">
        <v>471</v>
      </c>
      <c r="C272" s="962">
        <v>3</v>
      </c>
      <c r="D272" s="962">
        <v>1</v>
      </c>
      <c r="E272" s="962">
        <v>1</v>
      </c>
      <c r="F272" s="962">
        <f>I272+J272+K272</f>
        <v>99</v>
      </c>
      <c r="G272" s="962">
        <v>11</v>
      </c>
      <c r="H272" s="962">
        <f>C272*E272*G272</f>
        <v>33</v>
      </c>
      <c r="I272" s="1150">
        <f>IF(G272&lt;70, C272*E272*16.5*2, C272*E272*16.5*2)</f>
        <v>99</v>
      </c>
      <c r="J272" s="1156"/>
      <c r="K272" s="1237"/>
      <c r="L272" s="1237"/>
      <c r="M272" s="1238"/>
      <c r="N272" s="1238"/>
      <c r="O272" s="1238"/>
      <c r="P272" s="1238"/>
      <c r="Q272" s="1239"/>
    </row>
    <row r="273" spans="1:17" ht="25" customHeight="1">
      <c r="A273" s="1165" t="s">
        <v>472</v>
      </c>
      <c r="B273" s="1217" t="s">
        <v>473</v>
      </c>
      <c r="C273" s="962">
        <v>3</v>
      </c>
      <c r="D273" s="962">
        <v>1</v>
      </c>
      <c r="E273" s="962">
        <v>1</v>
      </c>
      <c r="F273" s="962">
        <f>I273+J273+K273</f>
        <v>99</v>
      </c>
      <c r="G273" s="962">
        <v>11</v>
      </c>
      <c r="H273" s="962">
        <f>C273*E273*G273</f>
        <v>33</v>
      </c>
      <c r="I273" s="1150">
        <f>IF(G273&lt;70, C273*E273*16.5*2, C273*E273*16.5*2)</f>
        <v>99</v>
      </c>
      <c r="J273" s="1156"/>
      <c r="K273" s="1237"/>
      <c r="L273" s="1237"/>
      <c r="M273" s="1238"/>
      <c r="N273" s="1238"/>
      <c r="O273" s="1238"/>
      <c r="P273" s="1238"/>
      <c r="Q273" s="1239"/>
    </row>
    <row r="274" spans="1:17" ht="25" customHeight="1">
      <c r="A274" s="1162" t="s">
        <v>146</v>
      </c>
      <c r="B274" s="1221" t="s">
        <v>166</v>
      </c>
      <c r="C274" s="962"/>
      <c r="D274" s="962"/>
      <c r="E274" s="962"/>
      <c r="F274" s="1149"/>
      <c r="G274" s="962"/>
      <c r="H274" s="962"/>
      <c r="I274" s="1156"/>
      <c r="J274" s="1156"/>
      <c r="K274" s="1237"/>
      <c r="L274" s="1237"/>
      <c r="M274" s="1238"/>
      <c r="N274" s="1238"/>
      <c r="O274" s="1238"/>
      <c r="P274" s="1238"/>
      <c r="Q274" s="1239"/>
    </row>
    <row r="275" spans="1:17" ht="25" customHeight="1">
      <c r="A275" s="1162"/>
      <c r="B275" s="1221" t="s">
        <v>658</v>
      </c>
      <c r="C275" s="962"/>
      <c r="D275" s="962"/>
      <c r="E275" s="962"/>
      <c r="F275" s="962"/>
      <c r="G275" s="962"/>
      <c r="H275" s="962"/>
      <c r="I275" s="1156"/>
      <c r="J275" s="1156"/>
      <c r="K275" s="1237"/>
      <c r="L275" s="1237"/>
      <c r="M275" s="1238"/>
      <c r="N275" s="1238"/>
      <c r="O275" s="1238"/>
      <c r="P275" s="1238"/>
      <c r="Q275" s="1239" t="s">
        <v>691</v>
      </c>
    </row>
    <row r="276" spans="1:17" ht="25" customHeight="1">
      <c r="A276" s="1162"/>
      <c r="B276" s="1221" t="s">
        <v>659</v>
      </c>
      <c r="C276" s="962"/>
      <c r="D276" s="962"/>
      <c r="E276" s="962"/>
      <c r="F276" s="1238"/>
      <c r="G276" s="1247"/>
      <c r="H276" s="1247"/>
      <c r="I276" s="1247"/>
      <c r="J276" s="1156"/>
      <c r="K276" s="1237"/>
      <c r="L276" s="1237"/>
      <c r="M276" s="1238"/>
      <c r="N276" s="1238"/>
      <c r="O276" s="1238"/>
      <c r="P276" s="1238"/>
      <c r="Q276" s="1239"/>
    </row>
    <row r="277" spans="1:17" ht="25" customHeight="1">
      <c r="A277" s="1162"/>
      <c r="B277" s="1221" t="s">
        <v>474</v>
      </c>
      <c r="C277" s="962"/>
      <c r="D277" s="962"/>
      <c r="E277" s="962"/>
      <c r="F277" s="962">
        <f>I277+J276+K276</f>
        <v>1140</v>
      </c>
      <c r="G277" s="962"/>
      <c r="H277" s="962"/>
      <c r="I277" s="1156">
        <v>1140</v>
      </c>
      <c r="J277" s="1156"/>
      <c r="K277" s="1237"/>
      <c r="L277" s="1237"/>
      <c r="M277" s="1238"/>
      <c r="N277" s="1238"/>
      <c r="O277" s="1238"/>
      <c r="P277" s="1238"/>
      <c r="Q277" s="1239"/>
    </row>
    <row r="278" spans="1:17" ht="25" customHeight="1">
      <c r="A278" s="1165"/>
      <c r="B278" s="1217" t="s">
        <v>475</v>
      </c>
      <c r="C278" s="962"/>
      <c r="D278" s="962"/>
      <c r="E278" s="962"/>
      <c r="F278" s="962">
        <f>I278+J277+K277</f>
        <v>300</v>
      </c>
      <c r="G278" s="962"/>
      <c r="H278" s="962"/>
      <c r="I278" s="1156">
        <v>300</v>
      </c>
      <c r="J278" s="1156"/>
      <c r="K278" s="1237"/>
      <c r="L278" s="1237"/>
      <c r="M278" s="1238"/>
      <c r="N278" s="1238"/>
      <c r="O278" s="1238"/>
      <c r="P278" s="1238"/>
      <c r="Q278" s="1239"/>
    </row>
    <row r="279" spans="1:17" ht="25" customHeight="1">
      <c r="A279" s="1162" t="s">
        <v>167</v>
      </c>
      <c r="B279" s="1221" t="s">
        <v>168</v>
      </c>
      <c r="C279" s="962"/>
      <c r="D279" s="962"/>
      <c r="E279" s="962"/>
      <c r="F279" s="1149"/>
      <c r="G279" s="962"/>
      <c r="H279" s="962"/>
      <c r="I279" s="1156"/>
      <c r="J279" s="1156"/>
      <c r="K279" s="1237"/>
      <c r="L279" s="1237"/>
      <c r="M279" s="1238"/>
      <c r="N279" s="1238"/>
      <c r="O279" s="1238"/>
      <c r="P279" s="1238"/>
      <c r="Q279" s="1239"/>
    </row>
    <row r="280" spans="1:17" ht="25" customHeight="1">
      <c r="A280" s="1165"/>
      <c r="B280" s="1217" t="s">
        <v>931</v>
      </c>
      <c r="C280" s="962"/>
      <c r="D280" s="962"/>
      <c r="E280" s="962"/>
      <c r="F280" s="962">
        <f>I280+J280+K280</f>
        <v>1000</v>
      </c>
      <c r="G280" s="962"/>
      <c r="H280" s="958"/>
      <c r="I280" s="958">
        <v>1000</v>
      </c>
      <c r="J280" s="1156"/>
      <c r="K280" s="1237"/>
      <c r="L280" s="1237"/>
      <c r="M280" s="1238"/>
      <c r="N280" s="1238"/>
      <c r="O280" s="1238"/>
      <c r="P280" s="1238"/>
      <c r="Q280" s="1239"/>
    </row>
    <row r="281" spans="1:17" ht="25" customHeight="1">
      <c r="A281" s="1165"/>
      <c r="B281" s="1217" t="s">
        <v>476</v>
      </c>
      <c r="C281" s="962"/>
      <c r="D281" s="962"/>
      <c r="E281" s="962"/>
      <c r="F281" s="962">
        <f>I281+J281+K281</f>
        <v>1000</v>
      </c>
      <c r="G281" s="962"/>
      <c r="H281" s="962"/>
      <c r="I281" s="1156">
        <v>1000</v>
      </c>
      <c r="J281" s="1156"/>
      <c r="K281" s="1237"/>
      <c r="L281" s="1237"/>
      <c r="M281" s="1238"/>
      <c r="N281" s="1238"/>
      <c r="O281" s="1238"/>
      <c r="P281" s="1238"/>
      <c r="Q281" s="1239"/>
    </row>
    <row r="282" spans="1:17" ht="25" customHeight="1">
      <c r="A282" s="1165"/>
      <c r="B282" s="1217" t="s">
        <v>475</v>
      </c>
      <c r="C282" s="962"/>
      <c r="D282" s="962"/>
      <c r="E282" s="962"/>
      <c r="F282" s="962">
        <f>I282+J282+K282</f>
        <v>350</v>
      </c>
      <c r="G282" s="962"/>
      <c r="H282" s="962"/>
      <c r="I282" s="1156"/>
      <c r="J282" s="1156">
        <v>350</v>
      </c>
      <c r="K282" s="1237"/>
      <c r="L282" s="1237"/>
      <c r="M282" s="1238"/>
      <c r="N282" s="1238"/>
      <c r="O282" s="1238"/>
      <c r="P282" s="1238"/>
      <c r="Q282" s="1239"/>
    </row>
    <row r="283" spans="1:17" ht="25" customHeight="1">
      <c r="A283" s="1167"/>
      <c r="B283" s="1168" t="s">
        <v>375</v>
      </c>
      <c r="C283" s="1169">
        <f t="shared" ref="C283:K283" si="54">SUM(C271:C282)</f>
        <v>9</v>
      </c>
      <c r="D283" s="1169">
        <f t="shared" si="54"/>
        <v>3</v>
      </c>
      <c r="E283" s="1169">
        <f t="shared" si="54"/>
        <v>3</v>
      </c>
      <c r="F283" s="1169">
        <f t="shared" si="54"/>
        <v>4087</v>
      </c>
      <c r="G283" s="1169">
        <f t="shared" si="54"/>
        <v>33</v>
      </c>
      <c r="H283" s="1169">
        <f t="shared" si="54"/>
        <v>99</v>
      </c>
      <c r="I283" s="1169">
        <f t="shared" si="54"/>
        <v>3638</v>
      </c>
      <c r="J283" s="1169">
        <f t="shared" si="54"/>
        <v>350</v>
      </c>
      <c r="K283" s="1169">
        <f t="shared" si="54"/>
        <v>99</v>
      </c>
      <c r="L283" s="1237"/>
      <c r="M283" s="1238"/>
      <c r="N283" s="1238"/>
      <c r="O283" s="1238"/>
      <c r="P283" s="1238"/>
      <c r="Q283" s="1239"/>
    </row>
    <row r="284" spans="1:17" ht="25" customHeight="1">
      <c r="A284" s="1196" t="s">
        <v>495</v>
      </c>
      <c r="B284" s="1197" t="s">
        <v>496</v>
      </c>
      <c r="C284" s="962"/>
      <c r="D284" s="962"/>
      <c r="E284" s="962"/>
      <c r="F284" s="1149"/>
      <c r="G284" s="962"/>
      <c r="H284" s="962"/>
      <c r="I284" s="1150"/>
      <c r="J284" s="1156"/>
      <c r="K284" s="1237"/>
      <c r="L284" s="1237"/>
      <c r="M284" s="1238"/>
      <c r="N284" s="1238"/>
      <c r="O284" s="1238"/>
      <c r="P284" s="1238"/>
      <c r="Q284" s="1239"/>
    </row>
    <row r="285" spans="1:17" ht="25" customHeight="1">
      <c r="A285" s="1196">
        <v>1</v>
      </c>
      <c r="B285" s="1199" t="s">
        <v>223</v>
      </c>
      <c r="C285" s="962"/>
      <c r="D285" s="962"/>
      <c r="E285" s="962"/>
      <c r="F285" s="1149"/>
      <c r="G285" s="962"/>
      <c r="H285" s="962"/>
      <c r="I285" s="1150"/>
      <c r="J285" s="1156"/>
      <c r="K285" s="1237"/>
      <c r="L285" s="1237"/>
      <c r="M285" s="1238"/>
      <c r="N285" s="1238"/>
      <c r="O285" s="1238"/>
      <c r="P285" s="1238"/>
      <c r="Q285" s="1239"/>
    </row>
    <row r="286" spans="1:17" ht="25" customHeight="1">
      <c r="A286" s="1196" t="s">
        <v>376</v>
      </c>
      <c r="B286" s="1199" t="s">
        <v>161</v>
      </c>
      <c r="C286" s="962"/>
      <c r="D286" s="962"/>
      <c r="E286" s="962"/>
      <c r="F286" s="962"/>
      <c r="G286" s="962"/>
      <c r="H286" s="958"/>
      <c r="I286" s="958"/>
      <c r="J286" s="1156"/>
      <c r="K286" s="1237"/>
      <c r="L286" s="1237"/>
      <c r="M286" s="1238"/>
      <c r="N286" s="1238"/>
      <c r="O286" s="1238"/>
      <c r="P286" s="1238"/>
      <c r="Q286" s="1239"/>
    </row>
    <row r="287" spans="1:17" s="616" customFormat="1" ht="25" customHeight="1">
      <c r="A287" s="1179" t="s">
        <v>224</v>
      </c>
      <c r="B287" s="1248" t="s">
        <v>661</v>
      </c>
      <c r="C287" s="1189">
        <v>2</v>
      </c>
      <c r="D287" s="1189">
        <v>1</v>
      </c>
      <c r="E287" s="1189">
        <v>10</v>
      </c>
      <c r="F287" s="1189">
        <f>I287+J287+K287</f>
        <v>330</v>
      </c>
      <c r="G287" s="960">
        <v>40</v>
      </c>
      <c r="H287" s="962">
        <f>C287*E287*G287</f>
        <v>800</v>
      </c>
      <c r="I287" s="1150">
        <f>IF(G287&lt;70, C287*E287*16.5*1, C287*E287*16.5*1.3)</f>
        <v>330</v>
      </c>
      <c r="J287" s="1156"/>
      <c r="K287" s="1237"/>
      <c r="L287" s="1249"/>
      <c r="M287" s="1250"/>
      <c r="N287" s="1250"/>
      <c r="O287" s="1250"/>
      <c r="P287" s="1250"/>
      <c r="Q287" s="1251"/>
    </row>
    <row r="288" spans="1:17" s="616" customFormat="1" ht="25" customHeight="1">
      <c r="A288" s="1179" t="s">
        <v>224</v>
      </c>
      <c r="B288" s="1248" t="s">
        <v>792</v>
      </c>
      <c r="C288" s="1189">
        <v>2</v>
      </c>
      <c r="D288" s="1189">
        <v>1</v>
      </c>
      <c r="E288" s="1189">
        <v>10</v>
      </c>
      <c r="F288" s="1189">
        <f>I288+J288+K288</f>
        <v>330</v>
      </c>
      <c r="G288" s="960">
        <v>40</v>
      </c>
      <c r="H288" s="962">
        <f>C288*E288*G288</f>
        <v>800</v>
      </c>
      <c r="I288" s="1150">
        <f>IF(G288&lt;70, C288*E288*16.5*1, C288*E288*16.5*1.3)</f>
        <v>330</v>
      </c>
      <c r="J288" s="1156"/>
      <c r="K288" s="1237"/>
      <c r="L288" s="1249"/>
      <c r="M288" s="1250"/>
      <c r="N288" s="1250"/>
      <c r="O288" s="1250"/>
      <c r="P288" s="1250"/>
      <c r="Q288" s="1251"/>
    </row>
    <row r="289" spans="1:17" s="616" customFormat="1" ht="25" customHeight="1">
      <c r="A289" s="1179" t="s">
        <v>225</v>
      </c>
      <c r="B289" s="1248" t="s">
        <v>793</v>
      </c>
      <c r="C289" s="1189">
        <v>2</v>
      </c>
      <c r="D289" s="1189">
        <v>1</v>
      </c>
      <c r="E289" s="1189">
        <v>10</v>
      </c>
      <c r="F289" s="1189">
        <f>I289+J289+K289</f>
        <v>330</v>
      </c>
      <c r="G289" s="960">
        <v>40</v>
      </c>
      <c r="H289" s="962">
        <f>C289*E289*G289</f>
        <v>800</v>
      </c>
      <c r="I289" s="1150">
        <f>IF(G289&lt;70, C289*E289*16.5*1, C289*E289*16.5*1.3)</f>
        <v>330</v>
      </c>
      <c r="J289" s="1156"/>
      <c r="K289" s="1237"/>
      <c r="L289" s="1252"/>
      <c r="M289" s="1252"/>
      <c r="N289" s="1252"/>
      <c r="O289" s="1252"/>
      <c r="P289" s="1252"/>
      <c r="Q289" s="1251"/>
    </row>
    <row r="290" spans="1:17" s="616" customFormat="1" ht="25" customHeight="1">
      <c r="A290" s="1167"/>
      <c r="B290" s="1168" t="s">
        <v>375</v>
      </c>
      <c r="C290" s="1169">
        <f>SUM(C287:C289)</f>
        <v>6</v>
      </c>
      <c r="D290" s="1169">
        <f t="shared" ref="D290:K290" si="55">SUM(D287:D289)</f>
        <v>3</v>
      </c>
      <c r="E290" s="1169">
        <f t="shared" si="55"/>
        <v>30</v>
      </c>
      <c r="F290" s="1169">
        <f t="shared" si="55"/>
        <v>990</v>
      </c>
      <c r="G290" s="1169">
        <f t="shared" si="55"/>
        <v>120</v>
      </c>
      <c r="H290" s="1169">
        <f t="shared" si="55"/>
        <v>2400</v>
      </c>
      <c r="I290" s="1169">
        <f t="shared" si="55"/>
        <v>990</v>
      </c>
      <c r="J290" s="1169">
        <f t="shared" si="55"/>
        <v>0</v>
      </c>
      <c r="K290" s="1169">
        <f t="shared" si="55"/>
        <v>0</v>
      </c>
      <c r="L290" s="1252"/>
      <c r="M290" s="1252"/>
      <c r="N290" s="1252"/>
      <c r="O290" s="1252"/>
      <c r="P290" s="1252"/>
      <c r="Q290" s="1251"/>
    </row>
    <row r="291" spans="1:17" s="616" customFormat="1" ht="25" customHeight="1">
      <c r="A291" s="1219"/>
      <c r="B291" s="1210" t="s">
        <v>477</v>
      </c>
      <c r="C291" s="1153">
        <f>C235+C268+C283+C290</f>
        <v>335</v>
      </c>
      <c r="D291" s="1153">
        <f t="shared" ref="D291:I291" si="56">D235+D268+D283+D290</f>
        <v>49.6</v>
      </c>
      <c r="E291" s="1153">
        <f t="shared" si="56"/>
        <v>118</v>
      </c>
      <c r="F291" s="1153">
        <f t="shared" si="56"/>
        <v>12431.55</v>
      </c>
      <c r="G291" s="1153">
        <f t="shared" si="56"/>
        <v>1374</v>
      </c>
      <c r="H291" s="1153">
        <f t="shared" si="56"/>
        <v>11527.5</v>
      </c>
      <c r="I291" s="1153">
        <f t="shared" si="56"/>
        <v>7860.25</v>
      </c>
      <c r="J291" s="1153">
        <f>J235+J268+J283+J290</f>
        <v>1742.3</v>
      </c>
      <c r="K291" s="1153">
        <f>K235+K268+K283+K290</f>
        <v>2969</v>
      </c>
      <c r="L291" s="1253">
        <f>'Bieu3 QLGD'!F25</f>
        <v>1890</v>
      </c>
      <c r="M291" s="1253">
        <f>'Bieu3 QLGD'!N25</f>
        <v>1606.5</v>
      </c>
      <c r="N291" s="1253">
        <f>I291-M291</f>
        <v>6253.75</v>
      </c>
      <c r="O291" s="1253">
        <f>'Bieu3 QLGD'!O25</f>
        <v>1311.75</v>
      </c>
      <c r="P291" s="1253">
        <f>'Bieu3 QLGD'!P25</f>
        <v>680</v>
      </c>
      <c r="Q291" s="1254" t="s">
        <v>693</v>
      </c>
    </row>
    <row r="292" spans="1:17" s="616" customFormat="1" ht="25" customHeight="1">
      <c r="A292" s="1179"/>
      <c r="B292" s="1255"/>
      <c r="C292" s="1256"/>
      <c r="D292" s="1256"/>
      <c r="E292" s="1257"/>
      <c r="F292" s="1256"/>
      <c r="G292" s="1256"/>
      <c r="H292" s="1256"/>
      <c r="I292" s="1256"/>
      <c r="J292" s="1256"/>
      <c r="K292" s="1258"/>
      <c r="L292" s="1252"/>
      <c r="M292" s="1252"/>
      <c r="N292" s="1252"/>
      <c r="O292" s="1252"/>
      <c r="P292" s="1252"/>
      <c r="Q292" s="1251"/>
    </row>
    <row r="293" spans="1:17" ht="25" customHeight="1">
      <c r="A293" s="1138" t="s">
        <v>6</v>
      </c>
      <c r="B293" s="1142" t="s">
        <v>160</v>
      </c>
      <c r="C293" s="958">
        <f t="shared" ref="C293:P293" si="57">C45+C153+C183+C235+C105</f>
        <v>264</v>
      </c>
      <c r="D293" s="958">
        <f t="shared" si="57"/>
        <v>87.859999999999985</v>
      </c>
      <c r="E293" s="958">
        <f t="shared" si="57"/>
        <v>271</v>
      </c>
      <c r="F293" s="958">
        <f t="shared" si="57"/>
        <v>18245.700000000004</v>
      </c>
      <c r="G293" s="958">
        <f t="shared" si="57"/>
        <v>4767</v>
      </c>
      <c r="H293" s="958">
        <f t="shared" si="57"/>
        <v>52029.3</v>
      </c>
      <c r="I293" s="958">
        <f t="shared" si="57"/>
        <v>18245.700000000004</v>
      </c>
      <c r="J293" s="958">
        <f t="shared" si="57"/>
        <v>0</v>
      </c>
      <c r="K293" s="958">
        <f t="shared" si="57"/>
        <v>0</v>
      </c>
      <c r="L293" s="958">
        <f t="shared" si="57"/>
        <v>0</v>
      </c>
      <c r="M293" s="958">
        <f t="shared" si="57"/>
        <v>0</v>
      </c>
      <c r="N293" s="958">
        <f t="shared" si="57"/>
        <v>0</v>
      </c>
      <c r="O293" s="958">
        <f t="shared" si="57"/>
        <v>0</v>
      </c>
      <c r="P293" s="958">
        <f t="shared" si="57"/>
        <v>0</v>
      </c>
      <c r="Q293" s="1157"/>
    </row>
    <row r="294" spans="1:17" ht="25" customHeight="1">
      <c r="A294" s="1162" t="s">
        <v>7</v>
      </c>
      <c r="B294" s="1142" t="s">
        <v>170</v>
      </c>
      <c r="C294" s="958">
        <f t="shared" ref="C294:H294" si="58">C268+C201+C163+C117+C56</f>
        <v>381</v>
      </c>
      <c r="D294" s="958">
        <f t="shared" si="58"/>
        <v>55</v>
      </c>
      <c r="E294" s="958">
        <f t="shared" si="58"/>
        <v>171</v>
      </c>
      <c r="F294" s="958">
        <f>I294+J294+K294</f>
        <v>17895.849999999999</v>
      </c>
      <c r="G294" s="958">
        <f t="shared" si="58"/>
        <v>895</v>
      </c>
      <c r="H294" s="958">
        <f t="shared" si="58"/>
        <v>10836</v>
      </c>
      <c r="I294" s="958">
        <f>I268+I201+I163+I117+I56</f>
        <v>13494.95</v>
      </c>
      <c r="J294" s="958">
        <f>J268+J201+J163+J117+J56</f>
        <v>1392.3</v>
      </c>
      <c r="K294" s="958">
        <f>K268+K201+K163+K117+K56</f>
        <v>3008.6</v>
      </c>
      <c r="L294" s="958">
        <v>0</v>
      </c>
      <c r="M294" s="958">
        <v>0</v>
      </c>
      <c r="N294" s="958">
        <v>0</v>
      </c>
      <c r="O294" s="958">
        <v>0</v>
      </c>
      <c r="P294" s="958">
        <v>0</v>
      </c>
      <c r="Q294" s="1157"/>
    </row>
    <row r="295" spans="1:17" ht="25" customHeight="1">
      <c r="A295" s="1162" t="s">
        <v>24</v>
      </c>
      <c r="B295" s="1144" t="s">
        <v>164</v>
      </c>
      <c r="C295" s="958">
        <f>C283</f>
        <v>9</v>
      </c>
      <c r="D295" s="958">
        <f>D283</f>
        <v>3</v>
      </c>
      <c r="E295" s="958">
        <f t="shared" ref="E295:K295" si="59">E283</f>
        <v>3</v>
      </c>
      <c r="F295" s="958">
        <f t="shared" si="59"/>
        <v>4087</v>
      </c>
      <c r="G295" s="958">
        <f t="shared" si="59"/>
        <v>33</v>
      </c>
      <c r="H295" s="958">
        <f t="shared" si="59"/>
        <v>99</v>
      </c>
      <c r="I295" s="958">
        <f t="shared" si="59"/>
        <v>3638</v>
      </c>
      <c r="J295" s="958">
        <f t="shared" si="59"/>
        <v>350</v>
      </c>
      <c r="K295" s="958">
        <f t="shared" si="59"/>
        <v>99</v>
      </c>
      <c r="L295" s="958">
        <v>0</v>
      </c>
      <c r="M295" s="958">
        <v>0</v>
      </c>
      <c r="N295" s="958">
        <v>0</v>
      </c>
      <c r="O295" s="958">
        <v>0</v>
      </c>
      <c r="P295" s="958">
        <v>0</v>
      </c>
      <c r="Q295" s="1157"/>
    </row>
    <row r="296" spans="1:17" ht="25" customHeight="1">
      <c r="A296" s="1162"/>
      <c r="B296" s="1144" t="s">
        <v>530</v>
      </c>
      <c r="C296" s="958">
        <f t="shared" ref="C296:K296" si="60">C290+C211+C169+C130+C76</f>
        <v>123</v>
      </c>
      <c r="D296" s="958">
        <f t="shared" si="60"/>
        <v>36</v>
      </c>
      <c r="E296" s="958">
        <f t="shared" si="60"/>
        <v>407</v>
      </c>
      <c r="F296" s="958">
        <f t="shared" si="60"/>
        <v>25593.15</v>
      </c>
      <c r="G296" s="958">
        <f t="shared" si="60"/>
        <v>1850</v>
      </c>
      <c r="H296" s="958">
        <f t="shared" si="60"/>
        <v>72770</v>
      </c>
      <c r="I296" s="958">
        <f t="shared" si="60"/>
        <v>25593.15</v>
      </c>
      <c r="J296" s="958">
        <f t="shared" si="60"/>
        <v>0</v>
      </c>
      <c r="K296" s="958">
        <f t="shared" si="60"/>
        <v>0</v>
      </c>
      <c r="L296" s="958">
        <v>0</v>
      </c>
      <c r="M296" s="958">
        <v>0</v>
      </c>
      <c r="N296" s="958">
        <v>0</v>
      </c>
      <c r="O296" s="958">
        <v>0</v>
      </c>
      <c r="P296" s="958">
        <v>0</v>
      </c>
      <c r="Q296" s="1157"/>
    </row>
    <row r="297" spans="1:17" ht="25" customHeight="1">
      <c r="A297" s="1162"/>
      <c r="B297" s="1144" t="s">
        <v>531</v>
      </c>
      <c r="C297" s="958">
        <v>0</v>
      </c>
      <c r="D297" s="958"/>
      <c r="E297" s="958">
        <v>0</v>
      </c>
      <c r="F297" s="958">
        <v>0</v>
      </c>
      <c r="G297" s="958">
        <v>0</v>
      </c>
      <c r="H297" s="958">
        <v>0</v>
      </c>
      <c r="I297" s="958">
        <v>0</v>
      </c>
      <c r="J297" s="958">
        <v>0</v>
      </c>
      <c r="K297" s="958">
        <v>0</v>
      </c>
      <c r="L297" s="958">
        <v>0</v>
      </c>
      <c r="M297" s="958">
        <v>0</v>
      </c>
      <c r="N297" s="958">
        <v>0</v>
      </c>
      <c r="O297" s="958">
        <v>0</v>
      </c>
      <c r="P297" s="958">
        <v>0</v>
      </c>
      <c r="Q297" s="1157"/>
    </row>
    <row r="298" spans="1:17" ht="25" customHeight="1" thickBot="1">
      <c r="A298" s="1259"/>
      <c r="B298" s="1260" t="s">
        <v>479</v>
      </c>
      <c r="C298" s="1261">
        <f>C291+C212+C170+C131+C78</f>
        <v>777</v>
      </c>
      <c r="D298" s="1261">
        <f t="shared" ref="D298:P298" si="61">D291+D212+D170+D131+D78</f>
        <v>181.85999999999999</v>
      </c>
      <c r="E298" s="1261">
        <f t="shared" si="61"/>
        <v>852</v>
      </c>
      <c r="F298" s="1261">
        <f t="shared" si="61"/>
        <v>65681.7</v>
      </c>
      <c r="G298" s="1261">
        <f t="shared" si="61"/>
        <v>7545</v>
      </c>
      <c r="H298" s="1261">
        <f t="shared" si="61"/>
        <v>135734.29999999999</v>
      </c>
      <c r="I298" s="1261">
        <f t="shared" si="61"/>
        <v>60971.8</v>
      </c>
      <c r="J298" s="1261">
        <f t="shared" si="61"/>
        <v>1742.3</v>
      </c>
      <c r="K298" s="1261">
        <f t="shared" si="61"/>
        <v>3107.6</v>
      </c>
      <c r="L298" s="1261">
        <f t="shared" si="61"/>
        <v>9922</v>
      </c>
      <c r="M298" s="1262">
        <f>M291+M212+M170+M131+M78</f>
        <v>8923</v>
      </c>
      <c r="N298" s="1262">
        <f>N291+N212+N170+N131+N78</f>
        <v>52048.800000000003</v>
      </c>
      <c r="O298" s="1261">
        <f t="shared" si="61"/>
        <v>6412.25</v>
      </c>
      <c r="P298" s="1261">
        <f t="shared" si="61"/>
        <v>3380</v>
      </c>
      <c r="Q298" s="1263"/>
    </row>
    <row r="299" spans="1:17" ht="13" customHeight="1" thickTop="1">
      <c r="C299" s="131"/>
      <c r="D299" s="1855" t="s">
        <v>555</v>
      </c>
      <c r="E299" s="1855"/>
      <c r="F299" s="1855"/>
      <c r="G299" s="1855"/>
      <c r="H299" s="1855"/>
      <c r="I299" s="1855"/>
      <c r="J299" s="1035" t="s">
        <v>1569</v>
      </c>
      <c r="K299" s="131"/>
      <c r="L299" s="131"/>
      <c r="M299" s="131"/>
      <c r="N299" s="1856" t="s">
        <v>938</v>
      </c>
      <c r="O299" s="1856"/>
      <c r="P299" s="1856"/>
      <c r="Q299" s="1856"/>
    </row>
    <row r="300" spans="1:17" ht="12.75" customHeight="1">
      <c r="A300" s="604"/>
      <c r="B300" s="604"/>
      <c r="C300" s="131"/>
      <c r="D300" s="131"/>
      <c r="E300" s="131"/>
      <c r="G300" s="131"/>
      <c r="H300" s="131"/>
      <c r="I300" s="131"/>
      <c r="J300" s="131"/>
      <c r="K300" s="131"/>
      <c r="L300" s="131"/>
      <c r="M300" s="131"/>
      <c r="N300" s="1848" t="s">
        <v>536</v>
      </c>
      <c r="O300" s="1848"/>
      <c r="P300" s="1848"/>
      <c r="Q300" s="1848"/>
    </row>
    <row r="301" spans="1:17" ht="12" customHeight="1">
      <c r="A301" s="604"/>
      <c r="B301" s="1857" t="s">
        <v>932</v>
      </c>
      <c r="C301" s="1857"/>
      <c r="D301" s="1857"/>
      <c r="E301" s="1857"/>
      <c r="F301" s="1857"/>
      <c r="G301" s="1857"/>
      <c r="H301" s="1857"/>
      <c r="I301" s="1857"/>
      <c r="J301" s="1857"/>
      <c r="K301" s="1857"/>
      <c r="L301" s="131"/>
      <c r="M301" s="131"/>
      <c r="N301" s="131"/>
      <c r="O301" s="131"/>
      <c r="P301" s="131"/>
      <c r="Q301" s="1038"/>
    </row>
    <row r="302" spans="1:17" ht="26.25" customHeight="1">
      <c r="A302" s="604"/>
      <c r="B302" s="1858" t="s">
        <v>235</v>
      </c>
      <c r="C302" s="1858"/>
      <c r="D302" s="1858"/>
      <c r="E302" s="1858"/>
      <c r="F302" s="1858"/>
      <c r="G302" s="1858"/>
      <c r="H302" s="1858"/>
      <c r="I302" s="1858"/>
      <c r="J302" s="1858"/>
      <c r="K302" s="1858"/>
      <c r="L302" s="131"/>
      <c r="M302" s="131"/>
      <c r="N302" s="131"/>
      <c r="O302" s="131"/>
      <c r="P302" s="131"/>
      <c r="Q302" s="1038"/>
    </row>
    <row r="303" spans="1:17" ht="30" customHeight="1">
      <c r="A303" s="604"/>
      <c r="B303" s="1854" t="s">
        <v>72</v>
      </c>
      <c r="C303" s="1854"/>
      <c r="D303" s="1854"/>
      <c r="E303" s="1854"/>
      <c r="F303" s="1854"/>
      <c r="G303" s="1854"/>
      <c r="H303" s="1854"/>
      <c r="I303" s="1854"/>
      <c r="J303" s="1854"/>
      <c r="K303" s="1854"/>
      <c r="L303" s="131"/>
      <c r="M303" s="131"/>
      <c r="N303" s="1842" t="s">
        <v>747</v>
      </c>
      <c r="O303" s="1842"/>
      <c r="P303" s="1842"/>
      <c r="Q303" s="1842"/>
    </row>
    <row r="304" spans="1:17">
      <c r="B304" s="610" t="s">
        <v>752</v>
      </c>
      <c r="C304" s="1050"/>
      <c r="D304" s="1050"/>
      <c r="E304" s="1050"/>
      <c r="F304" s="1050"/>
      <c r="G304" s="1050"/>
      <c r="H304" s="1050"/>
      <c r="I304" s="1050"/>
      <c r="J304" s="1050"/>
      <c r="K304" s="1050"/>
      <c r="L304" s="131"/>
    </row>
    <row r="305" spans="2:12">
      <c r="B305" s="610" t="s">
        <v>753</v>
      </c>
      <c r="C305" s="1051"/>
      <c r="D305" s="1051"/>
      <c r="E305" s="1051"/>
      <c r="F305" s="1051"/>
      <c r="G305" s="1051"/>
      <c r="H305" s="1051"/>
      <c r="I305" s="1051"/>
      <c r="J305" s="1051"/>
      <c r="K305" s="1051"/>
      <c r="L305" s="131"/>
    </row>
    <row r="306" spans="2:12">
      <c r="B306" s="610" t="s">
        <v>754</v>
      </c>
      <c r="C306" s="1051"/>
      <c r="D306" s="1051"/>
      <c r="E306" s="1051"/>
      <c r="F306" s="1051"/>
      <c r="G306" s="1051"/>
      <c r="H306" s="1051"/>
      <c r="I306" s="1051"/>
      <c r="J306" s="1051"/>
      <c r="K306" s="1051"/>
      <c r="L306" s="131"/>
    </row>
    <row r="307" spans="2:12">
      <c r="B307" s="610" t="s">
        <v>755</v>
      </c>
      <c r="C307" s="1051"/>
      <c r="D307" s="1051"/>
      <c r="E307" s="1051"/>
      <c r="F307" s="1051"/>
      <c r="G307" s="1051"/>
      <c r="H307" s="1051"/>
      <c r="I307" s="1051"/>
      <c r="J307" s="1051"/>
      <c r="K307" s="1051"/>
      <c r="L307" s="131"/>
    </row>
    <row r="308" spans="2:12">
      <c r="B308" s="604"/>
      <c r="C308" s="1052"/>
      <c r="D308" s="1052"/>
      <c r="E308" s="1052"/>
      <c r="F308" s="1052"/>
      <c r="G308" s="1052"/>
      <c r="H308" s="131"/>
      <c r="I308" s="131"/>
      <c r="J308" s="131"/>
      <c r="K308" s="131"/>
      <c r="L308" s="131"/>
    </row>
  </sheetData>
  <mergeCells count="28">
    <mergeCell ref="N5:N6"/>
    <mergeCell ref="A5:A6"/>
    <mergeCell ref="B5:B6"/>
    <mergeCell ref="C5:C6"/>
    <mergeCell ref="E5:E6"/>
    <mergeCell ref="F5:F6"/>
    <mergeCell ref="D5:D6"/>
    <mergeCell ref="A1:C1"/>
    <mergeCell ref="I1:N1"/>
    <mergeCell ref="A2:C2"/>
    <mergeCell ref="I2:N2"/>
    <mergeCell ref="A3:Q3"/>
    <mergeCell ref="O5:O6"/>
    <mergeCell ref="P5:P6"/>
    <mergeCell ref="Q5:Q6"/>
    <mergeCell ref="Q106:Q112"/>
    <mergeCell ref="B303:K303"/>
    <mergeCell ref="N303:Q303"/>
    <mergeCell ref="D299:I299"/>
    <mergeCell ref="N299:Q299"/>
    <mergeCell ref="N300:Q300"/>
    <mergeCell ref="B301:K301"/>
    <mergeCell ref="B302:K302"/>
    <mergeCell ref="M5:M6"/>
    <mergeCell ref="G5:G6"/>
    <mergeCell ref="H5:H6"/>
    <mergeCell ref="I5:K5"/>
    <mergeCell ref="L5:L6"/>
  </mergeCells>
  <pageMargins left="0.74" right="0.31" top="0.85" bottom="0.56000000000000005" header="0.82" footer="0.6"/>
  <pageSetup paperSize="9" scale="78" orientation="landscape" r:id="rId1"/>
  <ignoredErrors>
    <ignoredError sqref="F226:F229 F220:F225 J235:K235 K268 F277:H277 F278:F282 C117:F117 C105:E105 G105:K105 H117:K117" emptyCellReference="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46"/>
  <sheetViews>
    <sheetView zoomScale="125" zoomScaleNormal="125" zoomScalePageLayoutView="125" workbookViewId="0">
      <pane xSplit="2" ySplit="6" topLeftCell="C242" activePane="bottomRight" state="frozen"/>
      <selection pane="topRight" activeCell="C1" sqref="C1"/>
      <selection pane="bottomLeft" activeCell="A7" sqref="A7"/>
      <selection pane="bottomRight" activeCell="G246" sqref="G246:H246"/>
    </sheetView>
  </sheetViews>
  <sheetFormatPr baseColWidth="10" defaultColWidth="9.1640625" defaultRowHeight="13"/>
  <cols>
    <col min="1" max="1" width="5.5" style="256" customWidth="1"/>
    <col min="2" max="2" width="41.1640625" style="256" customWidth="1"/>
    <col min="3" max="3" width="7" style="248" customWidth="1"/>
    <col min="4" max="4" width="7" style="248" hidden="1" customWidth="1"/>
    <col min="5" max="5" width="6" style="248" customWidth="1"/>
    <col min="6" max="6" width="7.5" style="132" customWidth="1"/>
    <col min="7" max="7" width="6.83203125" style="248" customWidth="1"/>
    <col min="8" max="8" width="11.1640625" style="248" customWidth="1"/>
    <col min="9" max="10" width="8.33203125" style="248" customWidth="1"/>
    <col min="11" max="11" width="6.5" style="257" customWidth="1"/>
    <col min="12" max="12" width="7.6640625" style="257" customWidth="1"/>
    <col min="13" max="13" width="9.5" style="257" customWidth="1"/>
    <col min="14" max="14" width="11" style="257" customWidth="1"/>
    <col min="15" max="15" width="6.6640625" style="257" customWidth="1"/>
    <col min="16" max="16" width="9.6640625" style="257" customWidth="1"/>
    <col min="17" max="17" width="12.6640625" style="147" customWidth="1"/>
    <col min="18" max="16384" width="9.1640625" style="147"/>
  </cols>
  <sheetData>
    <row r="1" spans="1:17" ht="14.25" customHeight="1">
      <c r="A1" s="1861" t="s">
        <v>3</v>
      </c>
      <c r="B1" s="1861"/>
      <c r="C1" s="1861"/>
      <c r="D1" s="266"/>
      <c r="E1" s="266"/>
      <c r="F1" s="266"/>
      <c r="G1" s="266"/>
      <c r="H1" s="131"/>
      <c r="I1" s="1842"/>
      <c r="J1" s="1842"/>
      <c r="K1" s="1842"/>
      <c r="L1" s="1842"/>
      <c r="M1" s="1842"/>
      <c r="N1" s="1842"/>
      <c r="O1" s="46"/>
      <c r="P1" s="46"/>
      <c r="Q1" s="249" t="s">
        <v>29</v>
      </c>
    </row>
    <row r="2" spans="1:17">
      <c r="A2" s="1862" t="s">
        <v>521</v>
      </c>
      <c r="B2" s="1862"/>
      <c r="C2" s="1862"/>
      <c r="D2" s="267"/>
      <c r="E2" s="267"/>
      <c r="F2" s="266"/>
      <c r="G2" s="267"/>
      <c r="H2" s="131"/>
      <c r="I2" s="1842"/>
      <c r="J2" s="1842"/>
      <c r="K2" s="1842"/>
      <c r="L2" s="1842"/>
      <c r="M2" s="1842"/>
      <c r="N2" s="1842"/>
      <c r="O2" s="46"/>
      <c r="P2" s="46"/>
      <c r="Q2" s="46"/>
    </row>
    <row r="3" spans="1:17" ht="30" customHeight="1">
      <c r="A3" s="1878" t="s">
        <v>574</v>
      </c>
      <c r="B3" s="1878"/>
      <c r="C3" s="1878"/>
      <c r="D3" s="1878"/>
      <c r="E3" s="1878"/>
      <c r="F3" s="1878"/>
      <c r="G3" s="1878"/>
      <c r="H3" s="1878"/>
      <c r="I3" s="1878"/>
      <c r="J3" s="1878"/>
      <c r="K3" s="1878"/>
      <c r="L3" s="1878"/>
      <c r="M3" s="1878"/>
      <c r="N3" s="1878"/>
      <c r="O3" s="1878"/>
      <c r="P3" s="1878"/>
      <c r="Q3" s="1878"/>
    </row>
    <row r="4" spans="1:17">
      <c r="A4" s="52"/>
      <c r="B4" s="52"/>
      <c r="C4" s="53"/>
      <c r="D4" s="53"/>
      <c r="E4" s="53"/>
      <c r="F4" s="53"/>
      <c r="G4" s="53"/>
      <c r="H4" s="53"/>
      <c r="I4" s="53"/>
      <c r="J4" s="53"/>
      <c r="K4" s="52"/>
      <c r="L4" s="52"/>
      <c r="M4" s="52"/>
      <c r="N4" s="52" t="s">
        <v>19</v>
      </c>
      <c r="O4" s="52"/>
      <c r="P4" s="52"/>
      <c r="Q4" s="53"/>
    </row>
    <row r="5" spans="1:17" ht="133.5" customHeight="1">
      <c r="A5" s="1879" t="s">
        <v>0</v>
      </c>
      <c r="B5" s="1873" t="s">
        <v>169</v>
      </c>
      <c r="C5" s="1873" t="s">
        <v>202</v>
      </c>
      <c r="D5" s="1873" t="s">
        <v>203</v>
      </c>
      <c r="E5" s="1873" t="s">
        <v>150</v>
      </c>
      <c r="F5" s="1873" t="s">
        <v>157</v>
      </c>
      <c r="G5" s="1873" t="s">
        <v>206</v>
      </c>
      <c r="H5" s="1873" t="s">
        <v>205</v>
      </c>
      <c r="I5" s="1875" t="s">
        <v>207</v>
      </c>
      <c r="J5" s="1876"/>
      <c r="K5" s="1877"/>
      <c r="L5" s="1873" t="s">
        <v>208</v>
      </c>
      <c r="M5" s="1873" t="s">
        <v>209</v>
      </c>
      <c r="N5" s="1873" t="s">
        <v>38</v>
      </c>
      <c r="O5" s="1873" t="s">
        <v>84</v>
      </c>
      <c r="P5" s="1873" t="s">
        <v>85</v>
      </c>
      <c r="Q5" s="1873" t="s">
        <v>2</v>
      </c>
    </row>
    <row r="6" spans="1:17" ht="50" customHeight="1">
      <c r="A6" s="1880"/>
      <c r="B6" s="1874"/>
      <c r="C6" s="1874"/>
      <c r="D6" s="1874"/>
      <c r="E6" s="1874"/>
      <c r="F6" s="1874"/>
      <c r="G6" s="1874"/>
      <c r="H6" s="1874"/>
      <c r="I6" s="146" t="s">
        <v>158</v>
      </c>
      <c r="J6" s="146" t="s">
        <v>99</v>
      </c>
      <c r="K6" s="146" t="s">
        <v>156</v>
      </c>
      <c r="L6" s="1874"/>
      <c r="M6" s="1874"/>
      <c r="N6" s="1874"/>
      <c r="O6" s="1874"/>
      <c r="P6" s="1874"/>
      <c r="Q6" s="1874"/>
    </row>
    <row r="7" spans="1:17" s="250" customFormat="1" ht="30" customHeight="1">
      <c r="A7" s="149" t="s">
        <v>113</v>
      </c>
      <c r="B7" s="150" t="s">
        <v>114</v>
      </c>
      <c r="C7" s="150" t="s">
        <v>115</v>
      </c>
      <c r="D7" s="151" t="s">
        <v>116</v>
      </c>
      <c r="E7" s="151" t="s">
        <v>116</v>
      </c>
      <c r="F7" s="151" t="s">
        <v>117</v>
      </c>
      <c r="G7" s="151" t="s">
        <v>118</v>
      </c>
      <c r="H7" s="151" t="s">
        <v>580</v>
      </c>
      <c r="I7" s="151" t="s">
        <v>121</v>
      </c>
      <c r="J7" s="151" t="s">
        <v>123</v>
      </c>
      <c r="K7" s="151" t="s">
        <v>132</v>
      </c>
      <c r="L7" s="151" t="s">
        <v>124</v>
      </c>
      <c r="M7" s="151" t="s">
        <v>125</v>
      </c>
      <c r="N7" s="151" t="s">
        <v>126</v>
      </c>
      <c r="O7" s="152" t="s">
        <v>127</v>
      </c>
      <c r="P7" s="152" t="s">
        <v>128</v>
      </c>
      <c r="Q7" s="151" t="s">
        <v>204</v>
      </c>
    </row>
    <row r="8" spans="1:17" ht="25" customHeight="1">
      <c r="A8" s="157" t="s">
        <v>5</v>
      </c>
      <c r="B8" s="157" t="s">
        <v>292</v>
      </c>
      <c r="C8" s="158"/>
      <c r="D8" s="158"/>
      <c r="E8" s="158"/>
      <c r="F8" s="243"/>
      <c r="G8" s="158"/>
      <c r="H8" s="158"/>
      <c r="I8" s="158"/>
      <c r="J8" s="158"/>
      <c r="K8" s="157"/>
      <c r="L8" s="157"/>
      <c r="M8" s="157"/>
      <c r="N8" s="157"/>
      <c r="O8" s="157"/>
      <c r="P8" s="157"/>
      <c r="Q8" s="157"/>
    </row>
    <row r="9" spans="1:17" ht="25" customHeight="1">
      <c r="A9" s="168" t="s">
        <v>6</v>
      </c>
      <c r="B9" s="168" t="s">
        <v>575</v>
      </c>
      <c r="C9" s="169"/>
      <c r="D9" s="169"/>
      <c r="E9" s="169"/>
      <c r="F9" s="244"/>
      <c r="G9" s="169"/>
      <c r="H9" s="169"/>
      <c r="I9" s="169"/>
      <c r="J9" s="169"/>
      <c r="K9" s="168"/>
      <c r="L9" s="168"/>
      <c r="M9" s="168"/>
      <c r="N9" s="168"/>
      <c r="O9" s="168"/>
      <c r="P9" s="168"/>
      <c r="Q9" s="168"/>
    </row>
    <row r="10" spans="1:17" ht="25" customHeight="1">
      <c r="A10" s="168">
        <v>1</v>
      </c>
      <c r="B10" s="168" t="s">
        <v>4</v>
      </c>
      <c r="C10" s="169"/>
      <c r="D10" s="169"/>
      <c r="E10" s="169"/>
      <c r="F10" s="244"/>
      <c r="G10" s="169"/>
      <c r="H10" s="169"/>
      <c r="I10" s="169"/>
      <c r="J10" s="169"/>
      <c r="K10" s="168"/>
      <c r="L10" s="168"/>
      <c r="M10" s="168"/>
      <c r="N10" s="168"/>
      <c r="O10" s="168"/>
      <c r="P10" s="168"/>
      <c r="Q10" s="168"/>
    </row>
    <row r="11" spans="1:17" s="50" customFormat="1" ht="25" customHeight="1">
      <c r="A11" s="170" t="s">
        <v>145</v>
      </c>
      <c r="B11" s="171" t="s">
        <v>159</v>
      </c>
      <c r="C11" s="172"/>
      <c r="D11" s="172"/>
      <c r="E11" s="172"/>
      <c r="F11" s="268"/>
      <c r="G11" s="172"/>
      <c r="H11" s="172"/>
      <c r="I11" s="173"/>
      <c r="J11" s="173"/>
      <c r="K11" s="173"/>
      <c r="L11" s="173"/>
      <c r="M11" s="173"/>
      <c r="N11" s="173"/>
      <c r="O11" s="173"/>
      <c r="P11" s="173"/>
      <c r="Q11" s="174"/>
    </row>
    <row r="12" spans="1:17" s="50" customFormat="1" ht="25" customHeight="1">
      <c r="A12" s="269" t="s">
        <v>224</v>
      </c>
      <c r="B12" s="296" t="s">
        <v>248</v>
      </c>
      <c r="C12" s="272">
        <v>2</v>
      </c>
      <c r="D12" s="297">
        <v>1</v>
      </c>
      <c r="E12" s="272">
        <v>1</v>
      </c>
      <c r="F12" s="180">
        <f>I12+J12+K12</f>
        <v>33</v>
      </c>
      <c r="G12" s="268">
        <v>40</v>
      </c>
      <c r="H12" s="268">
        <f>C12*D12*E12*G12</f>
        <v>80</v>
      </c>
      <c r="I12" s="177">
        <f>IF(G12&lt;70, C12*E12*16.5*1, C12*E12*16.5*1.3)</f>
        <v>33</v>
      </c>
      <c r="J12" s="173"/>
      <c r="K12" s="173"/>
      <c r="L12" s="173"/>
      <c r="M12" s="173"/>
      <c r="N12" s="173"/>
      <c r="O12" s="173"/>
      <c r="P12" s="173"/>
      <c r="Q12" s="174"/>
    </row>
    <row r="13" spans="1:17" s="50" customFormat="1" ht="25" customHeight="1">
      <c r="A13" s="269" t="s">
        <v>225</v>
      </c>
      <c r="B13" s="296" t="s">
        <v>619</v>
      </c>
      <c r="C13" s="272">
        <v>1</v>
      </c>
      <c r="D13" s="272">
        <v>1.4</v>
      </c>
      <c r="E13" s="272">
        <v>14</v>
      </c>
      <c r="F13" s="180">
        <f>I13+J13+K13</f>
        <v>231</v>
      </c>
      <c r="G13" s="268">
        <v>20</v>
      </c>
      <c r="H13" s="268">
        <f t="shared" ref="H13:H44" si="0">C13*D13*E13*G13</f>
        <v>391.99999999999994</v>
      </c>
      <c r="I13" s="177">
        <f t="shared" ref="I13:I45" si="1">IF(G13&lt;70, C13*E13*16.5*1, C13*E13*16.5*1.3)</f>
        <v>231</v>
      </c>
      <c r="J13" s="173"/>
      <c r="K13" s="173"/>
      <c r="L13" s="173"/>
      <c r="M13" s="173"/>
      <c r="N13" s="173"/>
      <c r="O13" s="173"/>
      <c r="P13" s="173"/>
      <c r="Q13" s="174"/>
    </row>
    <row r="14" spans="1:17" s="50" customFormat="1" ht="25" customHeight="1">
      <c r="A14" s="269" t="s">
        <v>226</v>
      </c>
      <c r="B14" s="296" t="s">
        <v>249</v>
      </c>
      <c r="C14" s="272">
        <v>2</v>
      </c>
      <c r="D14" s="272">
        <v>1</v>
      </c>
      <c r="E14" s="272">
        <v>1</v>
      </c>
      <c r="F14" s="180">
        <f t="shared" ref="F14:F46" si="2">I14+J14+K14</f>
        <v>42.9</v>
      </c>
      <c r="G14" s="268">
        <v>80</v>
      </c>
      <c r="H14" s="268">
        <f t="shared" si="0"/>
        <v>160</v>
      </c>
      <c r="I14" s="177">
        <f t="shared" si="1"/>
        <v>42.9</v>
      </c>
      <c r="J14" s="173"/>
      <c r="K14" s="173"/>
      <c r="L14" s="173"/>
      <c r="M14" s="173"/>
      <c r="N14" s="173"/>
      <c r="O14" s="173"/>
      <c r="P14" s="173"/>
      <c r="Q14" s="174"/>
    </row>
    <row r="15" spans="1:17" s="50" customFormat="1" ht="25" customHeight="1">
      <c r="A15" s="269" t="s">
        <v>227</v>
      </c>
      <c r="B15" s="296" t="s">
        <v>620</v>
      </c>
      <c r="C15" s="272">
        <v>2</v>
      </c>
      <c r="D15" s="272">
        <v>1</v>
      </c>
      <c r="E15" s="272">
        <v>3</v>
      </c>
      <c r="F15" s="180">
        <f t="shared" si="2"/>
        <v>128.70000000000002</v>
      </c>
      <c r="G15" s="268">
        <v>70</v>
      </c>
      <c r="H15" s="268">
        <f t="shared" si="0"/>
        <v>420</v>
      </c>
      <c r="I15" s="177">
        <f t="shared" si="1"/>
        <v>128.70000000000002</v>
      </c>
      <c r="J15" s="173"/>
      <c r="K15" s="173"/>
      <c r="L15" s="173"/>
      <c r="M15" s="173"/>
      <c r="N15" s="173"/>
      <c r="O15" s="173"/>
      <c r="P15" s="173"/>
      <c r="Q15" s="174"/>
    </row>
    <row r="16" spans="1:17" s="50" customFormat="1" ht="25" customHeight="1">
      <c r="A16" s="269" t="s">
        <v>228</v>
      </c>
      <c r="B16" s="298" t="s">
        <v>621</v>
      </c>
      <c r="C16" s="272">
        <v>2</v>
      </c>
      <c r="D16" s="272">
        <v>1</v>
      </c>
      <c r="E16" s="272">
        <v>3</v>
      </c>
      <c r="F16" s="180">
        <f t="shared" si="2"/>
        <v>128.70000000000002</v>
      </c>
      <c r="G16" s="268">
        <v>70</v>
      </c>
      <c r="H16" s="268">
        <f t="shared" si="0"/>
        <v>420</v>
      </c>
      <c r="I16" s="177">
        <f t="shared" si="1"/>
        <v>128.70000000000002</v>
      </c>
      <c r="J16" s="173"/>
      <c r="K16" s="173"/>
      <c r="L16" s="173"/>
      <c r="M16" s="173"/>
      <c r="N16" s="173"/>
      <c r="O16" s="173"/>
      <c r="P16" s="173"/>
      <c r="Q16" s="174"/>
    </row>
    <row r="17" spans="1:17" s="50" customFormat="1" ht="25" customHeight="1">
      <c r="A17" s="269" t="s">
        <v>229</v>
      </c>
      <c r="B17" s="296" t="s">
        <v>257</v>
      </c>
      <c r="C17" s="272">
        <v>5</v>
      </c>
      <c r="D17" s="272">
        <v>1</v>
      </c>
      <c r="E17" s="272">
        <v>4</v>
      </c>
      <c r="F17" s="180">
        <f t="shared" si="2"/>
        <v>429</v>
      </c>
      <c r="G17" s="268">
        <v>70</v>
      </c>
      <c r="H17" s="268">
        <f t="shared" si="0"/>
        <v>1400</v>
      </c>
      <c r="I17" s="177">
        <f t="shared" si="1"/>
        <v>429</v>
      </c>
      <c r="J17" s="173"/>
      <c r="K17" s="173"/>
      <c r="L17" s="173"/>
      <c r="M17" s="173"/>
      <c r="N17" s="173"/>
      <c r="O17" s="173"/>
      <c r="P17" s="173"/>
      <c r="Q17" s="174"/>
    </row>
    <row r="18" spans="1:17" s="50" customFormat="1" ht="25" customHeight="1">
      <c r="A18" s="269" t="s">
        <v>280</v>
      </c>
      <c r="B18" s="296" t="s">
        <v>247</v>
      </c>
      <c r="C18" s="271">
        <v>2</v>
      </c>
      <c r="D18" s="297">
        <v>1</v>
      </c>
      <c r="E18" s="271">
        <v>1</v>
      </c>
      <c r="F18" s="180">
        <f t="shared" si="2"/>
        <v>33</v>
      </c>
      <c r="G18" s="177">
        <v>40</v>
      </c>
      <c r="H18" s="268">
        <f t="shared" si="0"/>
        <v>80</v>
      </c>
      <c r="I18" s="177">
        <f t="shared" si="1"/>
        <v>33</v>
      </c>
      <c r="J18" s="173"/>
      <c r="K18" s="173"/>
      <c r="L18" s="173"/>
      <c r="M18" s="173"/>
      <c r="N18" s="173"/>
      <c r="O18" s="173"/>
      <c r="P18" s="173"/>
      <c r="Q18" s="174"/>
    </row>
    <row r="19" spans="1:17" s="50" customFormat="1" ht="25" customHeight="1">
      <c r="A19" s="269" t="s">
        <v>281</v>
      </c>
      <c r="B19" s="298" t="s">
        <v>622</v>
      </c>
      <c r="C19" s="272">
        <v>2</v>
      </c>
      <c r="D19" s="272">
        <v>1</v>
      </c>
      <c r="E19" s="272">
        <v>2</v>
      </c>
      <c r="F19" s="180">
        <f t="shared" si="2"/>
        <v>85.8</v>
      </c>
      <c r="G19" s="268">
        <v>80</v>
      </c>
      <c r="H19" s="268">
        <f t="shared" si="0"/>
        <v>320</v>
      </c>
      <c r="I19" s="177">
        <f t="shared" si="1"/>
        <v>85.8</v>
      </c>
      <c r="J19" s="173"/>
      <c r="K19" s="173"/>
      <c r="L19" s="173"/>
      <c r="M19" s="173"/>
      <c r="N19" s="173"/>
      <c r="O19" s="173"/>
      <c r="P19" s="173"/>
      <c r="Q19" s="174"/>
    </row>
    <row r="20" spans="1:17" s="50" customFormat="1" ht="25" customHeight="1">
      <c r="A20" s="269" t="s">
        <v>282</v>
      </c>
      <c r="B20" s="296" t="s">
        <v>623</v>
      </c>
      <c r="C20" s="272">
        <v>1</v>
      </c>
      <c r="D20" s="272">
        <v>1.4</v>
      </c>
      <c r="E20" s="272">
        <v>6</v>
      </c>
      <c r="F20" s="180">
        <f t="shared" si="2"/>
        <v>99</v>
      </c>
      <c r="G20" s="268">
        <v>20</v>
      </c>
      <c r="H20" s="268">
        <f t="shared" si="0"/>
        <v>167.99999999999997</v>
      </c>
      <c r="I20" s="177">
        <f t="shared" si="1"/>
        <v>99</v>
      </c>
      <c r="J20" s="173"/>
      <c r="K20" s="173"/>
      <c r="L20" s="173"/>
      <c r="M20" s="173"/>
      <c r="N20" s="173"/>
      <c r="O20" s="173"/>
      <c r="P20" s="173"/>
      <c r="Q20" s="174"/>
    </row>
    <row r="21" spans="1:17" s="50" customFormat="1" ht="25" customHeight="1">
      <c r="A21" s="269" t="s">
        <v>283</v>
      </c>
      <c r="B21" s="296" t="s">
        <v>624</v>
      </c>
      <c r="C21" s="272">
        <v>3</v>
      </c>
      <c r="D21" s="272">
        <v>1</v>
      </c>
      <c r="E21" s="272">
        <v>2</v>
      </c>
      <c r="F21" s="180">
        <f t="shared" si="2"/>
        <v>128.70000000000002</v>
      </c>
      <c r="G21" s="268">
        <v>80</v>
      </c>
      <c r="H21" s="268">
        <f t="shared" si="0"/>
        <v>480</v>
      </c>
      <c r="I21" s="177">
        <f t="shared" si="1"/>
        <v>128.70000000000002</v>
      </c>
      <c r="J21" s="178"/>
      <c r="K21" s="178"/>
      <c r="L21" s="178"/>
      <c r="M21" s="178"/>
      <c r="N21" s="178"/>
      <c r="O21" s="178"/>
      <c r="P21" s="178"/>
      <c r="Q21" s="179"/>
    </row>
    <row r="22" spans="1:17" s="50" customFormat="1" ht="25" customHeight="1">
      <c r="A22" s="269" t="s">
        <v>284</v>
      </c>
      <c r="B22" s="296" t="s">
        <v>250</v>
      </c>
      <c r="C22" s="272">
        <v>2</v>
      </c>
      <c r="D22" s="272">
        <v>1</v>
      </c>
      <c r="E22" s="272">
        <v>1</v>
      </c>
      <c r="F22" s="180">
        <f t="shared" si="2"/>
        <v>33</v>
      </c>
      <c r="G22" s="268">
        <v>40</v>
      </c>
      <c r="H22" s="268">
        <f t="shared" si="0"/>
        <v>80</v>
      </c>
      <c r="I22" s="177">
        <f t="shared" si="1"/>
        <v>33</v>
      </c>
      <c r="J22" s="178"/>
      <c r="K22" s="178"/>
      <c r="L22" s="178"/>
      <c r="M22" s="178"/>
      <c r="N22" s="178"/>
      <c r="O22" s="178"/>
      <c r="P22" s="178"/>
      <c r="Q22" s="179"/>
    </row>
    <row r="23" spans="1:17" s="50" customFormat="1" ht="25" customHeight="1">
      <c r="A23" s="269" t="s">
        <v>287</v>
      </c>
      <c r="B23" s="296" t="s">
        <v>251</v>
      </c>
      <c r="C23" s="272">
        <v>2</v>
      </c>
      <c r="D23" s="272">
        <v>1</v>
      </c>
      <c r="E23" s="272">
        <v>1</v>
      </c>
      <c r="F23" s="180">
        <f t="shared" si="2"/>
        <v>33</v>
      </c>
      <c r="G23" s="268">
        <v>40</v>
      </c>
      <c r="H23" s="268">
        <f t="shared" si="0"/>
        <v>80</v>
      </c>
      <c r="I23" s="177">
        <f t="shared" si="1"/>
        <v>33</v>
      </c>
      <c r="J23" s="178"/>
      <c r="K23" s="178"/>
      <c r="L23" s="178"/>
      <c r="M23" s="178"/>
      <c r="N23" s="178"/>
      <c r="O23" s="178"/>
      <c r="P23" s="178"/>
      <c r="Q23" s="179"/>
    </row>
    <row r="24" spans="1:17" s="50" customFormat="1" ht="25" customHeight="1">
      <c r="A24" s="269" t="s">
        <v>288</v>
      </c>
      <c r="B24" s="296" t="s">
        <v>252</v>
      </c>
      <c r="C24" s="272">
        <v>4</v>
      </c>
      <c r="D24" s="272">
        <v>1.4</v>
      </c>
      <c r="E24" s="272">
        <v>6</v>
      </c>
      <c r="F24" s="180">
        <f t="shared" si="2"/>
        <v>240</v>
      </c>
      <c r="G24" s="268">
        <v>20</v>
      </c>
      <c r="H24" s="268">
        <f t="shared" si="0"/>
        <v>671.99999999999989</v>
      </c>
      <c r="I24" s="177">
        <f>E24*G24*2</f>
        <v>240</v>
      </c>
      <c r="J24" s="178"/>
      <c r="K24" s="178"/>
      <c r="L24" s="178"/>
      <c r="M24" s="178"/>
      <c r="N24" s="178"/>
      <c r="O24" s="178"/>
      <c r="P24" s="178"/>
      <c r="Q24" s="179"/>
    </row>
    <row r="25" spans="1:17" s="50" customFormat="1" ht="25" customHeight="1">
      <c r="A25" s="269" t="s">
        <v>289</v>
      </c>
      <c r="B25" s="296" t="s">
        <v>253</v>
      </c>
      <c r="C25" s="272">
        <v>3</v>
      </c>
      <c r="D25" s="272">
        <v>1.3</v>
      </c>
      <c r="E25" s="272">
        <v>7</v>
      </c>
      <c r="F25" s="180">
        <f t="shared" si="2"/>
        <v>346.5</v>
      </c>
      <c r="G25" s="268">
        <v>20</v>
      </c>
      <c r="H25" s="268">
        <f t="shared" si="0"/>
        <v>546.00000000000011</v>
      </c>
      <c r="I25" s="177">
        <f t="shared" si="1"/>
        <v>346.5</v>
      </c>
      <c r="J25" s="178"/>
      <c r="K25" s="178"/>
      <c r="L25" s="178"/>
      <c r="M25" s="178"/>
      <c r="N25" s="178"/>
      <c r="O25" s="178"/>
      <c r="P25" s="178"/>
      <c r="Q25" s="179"/>
    </row>
    <row r="26" spans="1:17" s="50" customFormat="1" ht="25" customHeight="1">
      <c r="A26" s="269" t="s">
        <v>290</v>
      </c>
      <c r="B26" s="296" t="s">
        <v>254</v>
      </c>
      <c r="C26" s="272">
        <v>3</v>
      </c>
      <c r="D26" s="272">
        <v>1</v>
      </c>
      <c r="E26" s="272">
        <v>2</v>
      </c>
      <c r="F26" s="180">
        <f t="shared" si="2"/>
        <v>128.70000000000002</v>
      </c>
      <c r="G26" s="268">
        <v>70</v>
      </c>
      <c r="H26" s="268">
        <f t="shared" si="0"/>
        <v>420</v>
      </c>
      <c r="I26" s="177">
        <f t="shared" si="1"/>
        <v>128.70000000000002</v>
      </c>
      <c r="J26" s="178"/>
      <c r="K26" s="178"/>
      <c r="L26" s="178"/>
      <c r="M26" s="178"/>
      <c r="N26" s="178"/>
      <c r="O26" s="178"/>
      <c r="P26" s="178"/>
      <c r="Q26" s="179"/>
    </row>
    <row r="27" spans="1:17" s="50" customFormat="1" ht="25" customHeight="1">
      <c r="A27" s="269" t="s">
        <v>389</v>
      </c>
      <c r="B27" s="299" t="s">
        <v>625</v>
      </c>
      <c r="C27" s="272">
        <v>3</v>
      </c>
      <c r="D27" s="272">
        <v>1</v>
      </c>
      <c r="E27" s="272">
        <v>4</v>
      </c>
      <c r="F27" s="180">
        <f t="shared" si="2"/>
        <v>257.40000000000003</v>
      </c>
      <c r="G27" s="268">
        <v>70</v>
      </c>
      <c r="H27" s="268">
        <f t="shared" si="0"/>
        <v>840</v>
      </c>
      <c r="I27" s="177">
        <f t="shared" si="1"/>
        <v>257.40000000000003</v>
      </c>
      <c r="J27" s="178"/>
      <c r="K27" s="178"/>
      <c r="L27" s="178"/>
      <c r="M27" s="178"/>
      <c r="N27" s="178"/>
      <c r="O27" s="178"/>
      <c r="P27" s="178"/>
      <c r="Q27" s="179"/>
    </row>
    <row r="28" spans="1:17" s="50" customFormat="1" ht="25" customHeight="1">
      <c r="A28" s="269" t="s">
        <v>390</v>
      </c>
      <c r="B28" s="296" t="s">
        <v>626</v>
      </c>
      <c r="C28" s="272">
        <v>5</v>
      </c>
      <c r="D28" s="272">
        <v>1.4</v>
      </c>
      <c r="E28" s="272">
        <v>6</v>
      </c>
      <c r="F28" s="180">
        <f t="shared" si="2"/>
        <v>495</v>
      </c>
      <c r="G28" s="268">
        <v>45</v>
      </c>
      <c r="H28" s="268">
        <f t="shared" si="0"/>
        <v>1890</v>
      </c>
      <c r="I28" s="177">
        <f t="shared" si="1"/>
        <v>495</v>
      </c>
      <c r="J28" s="178"/>
      <c r="K28" s="178"/>
      <c r="L28" s="178"/>
      <c r="M28" s="178"/>
      <c r="N28" s="178"/>
      <c r="O28" s="178"/>
      <c r="P28" s="178"/>
      <c r="Q28" s="179"/>
    </row>
    <row r="29" spans="1:17" s="50" customFormat="1" ht="25" customHeight="1">
      <c r="A29" s="269" t="s">
        <v>391</v>
      </c>
      <c r="B29" s="296" t="s">
        <v>258</v>
      </c>
      <c r="C29" s="272">
        <v>2</v>
      </c>
      <c r="D29" s="272">
        <v>1</v>
      </c>
      <c r="E29" s="272">
        <v>4</v>
      </c>
      <c r="F29" s="180">
        <f t="shared" si="2"/>
        <v>132</v>
      </c>
      <c r="G29" s="268">
        <v>40</v>
      </c>
      <c r="H29" s="268">
        <f t="shared" si="0"/>
        <v>320</v>
      </c>
      <c r="I29" s="177">
        <f t="shared" si="1"/>
        <v>132</v>
      </c>
      <c r="J29" s="178"/>
      <c r="K29" s="178"/>
      <c r="L29" s="178"/>
      <c r="M29" s="178"/>
      <c r="N29" s="178"/>
      <c r="O29" s="178"/>
      <c r="P29" s="178"/>
      <c r="Q29" s="179"/>
    </row>
    <row r="30" spans="1:17" s="50" customFormat="1" ht="25" customHeight="1">
      <c r="A30" s="269" t="s">
        <v>392</v>
      </c>
      <c r="B30" s="296" t="s">
        <v>627</v>
      </c>
      <c r="C30" s="272">
        <v>2</v>
      </c>
      <c r="D30" s="272">
        <v>1</v>
      </c>
      <c r="E30" s="272">
        <v>2</v>
      </c>
      <c r="F30" s="180">
        <f t="shared" si="2"/>
        <v>66</v>
      </c>
      <c r="G30" s="268">
        <v>65</v>
      </c>
      <c r="H30" s="268">
        <f t="shared" si="0"/>
        <v>260</v>
      </c>
      <c r="I30" s="177">
        <f t="shared" si="1"/>
        <v>66</v>
      </c>
      <c r="J30" s="178"/>
      <c r="K30" s="178"/>
      <c r="L30" s="178"/>
      <c r="M30" s="178"/>
      <c r="N30" s="178"/>
      <c r="O30" s="178"/>
      <c r="P30" s="178"/>
      <c r="Q30" s="179"/>
    </row>
    <row r="31" spans="1:17" s="50" customFormat="1" ht="25" customHeight="1">
      <c r="A31" s="269" t="s">
        <v>393</v>
      </c>
      <c r="B31" s="296" t="s">
        <v>628</v>
      </c>
      <c r="C31" s="272">
        <v>4</v>
      </c>
      <c r="D31" s="272">
        <v>1</v>
      </c>
      <c r="E31" s="272">
        <v>2</v>
      </c>
      <c r="F31" s="180">
        <f t="shared" si="2"/>
        <v>171.6</v>
      </c>
      <c r="G31" s="268">
        <v>70</v>
      </c>
      <c r="H31" s="268">
        <f t="shared" si="0"/>
        <v>560</v>
      </c>
      <c r="I31" s="177">
        <f t="shared" si="1"/>
        <v>171.6</v>
      </c>
      <c r="J31" s="178"/>
      <c r="K31" s="178"/>
      <c r="L31" s="178"/>
      <c r="M31" s="178"/>
      <c r="N31" s="178"/>
      <c r="O31" s="178"/>
      <c r="P31" s="178"/>
      <c r="Q31" s="179"/>
    </row>
    <row r="32" spans="1:17" s="50" customFormat="1" ht="25" customHeight="1">
      <c r="A32" s="269" t="s">
        <v>394</v>
      </c>
      <c r="B32" s="296" t="s">
        <v>629</v>
      </c>
      <c r="C32" s="272">
        <v>2</v>
      </c>
      <c r="D32" s="272">
        <v>1.08</v>
      </c>
      <c r="E32" s="272">
        <v>4</v>
      </c>
      <c r="F32" s="180">
        <f t="shared" si="2"/>
        <v>132</v>
      </c>
      <c r="G32" s="268">
        <v>50</v>
      </c>
      <c r="H32" s="268">
        <f t="shared" si="0"/>
        <v>432</v>
      </c>
      <c r="I32" s="177">
        <f t="shared" si="1"/>
        <v>132</v>
      </c>
      <c r="J32" s="178"/>
      <c r="K32" s="178"/>
      <c r="L32" s="178"/>
      <c r="M32" s="178"/>
      <c r="N32" s="178"/>
      <c r="O32" s="178"/>
      <c r="P32" s="178"/>
      <c r="Q32" s="179"/>
    </row>
    <row r="33" spans="1:17" s="50" customFormat="1" ht="25" customHeight="1">
      <c r="A33" s="269" t="s">
        <v>395</v>
      </c>
      <c r="B33" s="300" t="s">
        <v>260</v>
      </c>
      <c r="C33" s="301">
        <v>4</v>
      </c>
      <c r="D33" s="272">
        <v>1.08</v>
      </c>
      <c r="E33" s="302">
        <v>2</v>
      </c>
      <c r="F33" s="180">
        <f t="shared" si="2"/>
        <v>171.6</v>
      </c>
      <c r="G33" s="181">
        <v>70</v>
      </c>
      <c r="H33" s="268">
        <f t="shared" si="0"/>
        <v>604.80000000000007</v>
      </c>
      <c r="I33" s="177">
        <f t="shared" si="1"/>
        <v>171.6</v>
      </c>
      <c r="J33" s="178"/>
      <c r="K33" s="178"/>
      <c r="L33" s="178"/>
      <c r="M33" s="178"/>
      <c r="N33" s="178"/>
      <c r="O33" s="178"/>
      <c r="P33" s="178"/>
      <c r="Q33" s="179"/>
    </row>
    <row r="34" spans="1:17" s="50" customFormat="1" ht="25" customHeight="1">
      <c r="A34" s="269" t="s">
        <v>396</v>
      </c>
      <c r="B34" s="303" t="s">
        <v>630</v>
      </c>
      <c r="C34" s="272">
        <v>3</v>
      </c>
      <c r="D34" s="272">
        <v>1</v>
      </c>
      <c r="E34" s="272">
        <v>2</v>
      </c>
      <c r="F34" s="180">
        <f t="shared" si="2"/>
        <v>128.70000000000002</v>
      </c>
      <c r="G34" s="268">
        <v>80</v>
      </c>
      <c r="H34" s="268">
        <f t="shared" si="0"/>
        <v>480</v>
      </c>
      <c r="I34" s="177">
        <f t="shared" si="1"/>
        <v>128.70000000000002</v>
      </c>
      <c r="J34" s="178"/>
      <c r="K34" s="178"/>
      <c r="L34" s="178"/>
      <c r="M34" s="178"/>
      <c r="N34" s="178"/>
      <c r="O34" s="178"/>
      <c r="P34" s="178"/>
      <c r="Q34" s="179"/>
    </row>
    <row r="35" spans="1:17" s="50" customFormat="1" ht="25" customHeight="1">
      <c r="A35" s="269" t="s">
        <v>397</v>
      </c>
      <c r="B35" s="296" t="s">
        <v>631</v>
      </c>
      <c r="C35" s="272">
        <v>3</v>
      </c>
      <c r="D35" s="272">
        <v>1</v>
      </c>
      <c r="E35" s="272">
        <v>2</v>
      </c>
      <c r="F35" s="180">
        <f t="shared" si="2"/>
        <v>128.70000000000002</v>
      </c>
      <c r="G35" s="268">
        <v>70</v>
      </c>
      <c r="H35" s="268">
        <f t="shared" si="0"/>
        <v>420</v>
      </c>
      <c r="I35" s="177">
        <f t="shared" si="1"/>
        <v>128.70000000000002</v>
      </c>
      <c r="J35" s="178"/>
      <c r="K35" s="178"/>
      <c r="L35" s="178"/>
      <c r="M35" s="178"/>
      <c r="N35" s="178"/>
      <c r="O35" s="178"/>
      <c r="P35" s="178"/>
      <c r="Q35" s="179"/>
    </row>
    <row r="36" spans="1:17" s="50" customFormat="1" ht="25" customHeight="1">
      <c r="A36" s="269" t="s">
        <v>398</v>
      </c>
      <c r="B36" s="296" t="s">
        <v>262</v>
      </c>
      <c r="C36" s="272">
        <v>3</v>
      </c>
      <c r="D36" s="272">
        <v>1</v>
      </c>
      <c r="E36" s="272">
        <v>1</v>
      </c>
      <c r="F36" s="180">
        <f t="shared" si="2"/>
        <v>49.5</v>
      </c>
      <c r="G36" s="268">
        <v>21</v>
      </c>
      <c r="H36" s="268">
        <f t="shared" si="0"/>
        <v>63</v>
      </c>
      <c r="I36" s="177">
        <f t="shared" si="1"/>
        <v>49.5</v>
      </c>
      <c r="J36" s="178"/>
      <c r="K36" s="178"/>
      <c r="L36" s="178"/>
      <c r="M36" s="178"/>
      <c r="N36" s="178"/>
      <c r="O36" s="178"/>
      <c r="P36" s="178"/>
      <c r="Q36" s="179"/>
    </row>
    <row r="37" spans="1:17" s="50" customFormat="1" ht="25" customHeight="1">
      <c r="A37" s="269" t="s">
        <v>399</v>
      </c>
      <c r="B37" s="296" t="s">
        <v>632</v>
      </c>
      <c r="C37" s="272">
        <v>4</v>
      </c>
      <c r="D37" s="272">
        <v>1</v>
      </c>
      <c r="E37" s="272">
        <v>5</v>
      </c>
      <c r="F37" s="180">
        <f t="shared" si="2"/>
        <v>429</v>
      </c>
      <c r="G37" s="268">
        <v>70</v>
      </c>
      <c r="H37" s="268">
        <f t="shared" si="0"/>
        <v>1400</v>
      </c>
      <c r="I37" s="177">
        <f t="shared" si="1"/>
        <v>429</v>
      </c>
      <c r="J37" s="178"/>
      <c r="K37" s="178"/>
      <c r="L37" s="178"/>
      <c r="M37" s="178"/>
      <c r="N37" s="178"/>
      <c r="O37" s="178"/>
      <c r="P37" s="178"/>
      <c r="Q37" s="179"/>
    </row>
    <row r="38" spans="1:17" s="50" customFormat="1" ht="25" customHeight="1">
      <c r="A38" s="269" t="s">
        <v>400</v>
      </c>
      <c r="B38" s="296" t="s">
        <v>626</v>
      </c>
      <c r="C38" s="272">
        <v>2</v>
      </c>
      <c r="D38" s="272">
        <v>1.4</v>
      </c>
      <c r="E38" s="272">
        <v>6</v>
      </c>
      <c r="F38" s="180">
        <f t="shared" si="2"/>
        <v>90</v>
      </c>
      <c r="G38" s="268">
        <v>20</v>
      </c>
      <c r="H38" s="268">
        <f t="shared" si="0"/>
        <v>335.99999999999994</v>
      </c>
      <c r="I38" s="177">
        <f>E38*15</f>
        <v>90</v>
      </c>
      <c r="J38" s="178"/>
      <c r="K38" s="178"/>
      <c r="L38" s="178"/>
      <c r="M38" s="178"/>
      <c r="N38" s="178"/>
      <c r="O38" s="178"/>
      <c r="P38" s="178"/>
      <c r="Q38" s="179"/>
    </row>
    <row r="39" spans="1:17" s="50" customFormat="1" ht="25" customHeight="1">
      <c r="A39" s="269" t="s">
        <v>401</v>
      </c>
      <c r="B39" s="296" t="s">
        <v>263</v>
      </c>
      <c r="C39" s="272">
        <v>3</v>
      </c>
      <c r="D39" s="272">
        <v>1</v>
      </c>
      <c r="E39" s="272">
        <v>6</v>
      </c>
      <c r="F39" s="180">
        <f t="shared" si="2"/>
        <v>297</v>
      </c>
      <c r="G39" s="268">
        <v>50</v>
      </c>
      <c r="H39" s="268">
        <f t="shared" si="0"/>
        <v>900</v>
      </c>
      <c r="I39" s="177">
        <f t="shared" si="1"/>
        <v>297</v>
      </c>
      <c r="J39" s="178"/>
      <c r="K39" s="178"/>
      <c r="L39" s="178"/>
      <c r="M39" s="178"/>
      <c r="N39" s="178"/>
      <c r="O39" s="178"/>
      <c r="P39" s="178"/>
      <c r="Q39" s="179"/>
    </row>
    <row r="40" spans="1:17" s="50" customFormat="1" ht="25" customHeight="1">
      <c r="A40" s="269" t="s">
        <v>402</v>
      </c>
      <c r="B40" s="296" t="s">
        <v>264</v>
      </c>
      <c r="C40" s="272">
        <v>3</v>
      </c>
      <c r="D40" s="272">
        <v>1</v>
      </c>
      <c r="E40" s="272">
        <v>3</v>
      </c>
      <c r="F40" s="180">
        <f t="shared" si="2"/>
        <v>193.05</v>
      </c>
      <c r="G40" s="268">
        <v>70</v>
      </c>
      <c r="H40" s="268">
        <f t="shared" si="0"/>
        <v>630</v>
      </c>
      <c r="I40" s="177">
        <f t="shared" si="1"/>
        <v>193.05</v>
      </c>
      <c r="J40" s="178"/>
      <c r="K40" s="178"/>
      <c r="L40" s="178"/>
      <c r="M40" s="178"/>
      <c r="N40" s="178"/>
      <c r="O40" s="178"/>
      <c r="P40" s="178"/>
      <c r="Q40" s="179"/>
    </row>
    <row r="41" spans="1:17" s="50" customFormat="1" ht="25" customHeight="1">
      <c r="A41" s="269" t="s">
        <v>403</v>
      </c>
      <c r="B41" s="296" t="s">
        <v>265</v>
      </c>
      <c r="C41" s="272">
        <v>2</v>
      </c>
      <c r="D41" s="272">
        <v>1</v>
      </c>
      <c r="E41" s="272">
        <v>1</v>
      </c>
      <c r="F41" s="180">
        <f t="shared" si="2"/>
        <v>33</v>
      </c>
      <c r="G41" s="268">
        <v>50</v>
      </c>
      <c r="H41" s="268">
        <f t="shared" si="0"/>
        <v>100</v>
      </c>
      <c r="I41" s="177">
        <f t="shared" si="1"/>
        <v>33</v>
      </c>
      <c r="J41" s="178"/>
      <c r="K41" s="178"/>
      <c r="L41" s="178"/>
      <c r="M41" s="178"/>
      <c r="N41" s="178"/>
      <c r="O41" s="178"/>
      <c r="P41" s="178"/>
      <c r="Q41" s="179"/>
    </row>
    <row r="42" spans="1:17" s="50" customFormat="1" ht="25" customHeight="1">
      <c r="A42" s="269" t="s">
        <v>404</v>
      </c>
      <c r="B42" s="296" t="s">
        <v>266</v>
      </c>
      <c r="C42" s="272">
        <v>2</v>
      </c>
      <c r="D42" s="272">
        <v>1</v>
      </c>
      <c r="E42" s="272">
        <v>1</v>
      </c>
      <c r="F42" s="180">
        <f t="shared" si="2"/>
        <v>33</v>
      </c>
      <c r="G42" s="268">
        <v>50</v>
      </c>
      <c r="H42" s="268">
        <f t="shared" si="0"/>
        <v>100</v>
      </c>
      <c r="I42" s="177">
        <f t="shared" si="1"/>
        <v>33</v>
      </c>
      <c r="J42" s="178"/>
      <c r="K42" s="178"/>
      <c r="L42" s="178"/>
      <c r="M42" s="178"/>
      <c r="N42" s="178"/>
      <c r="O42" s="178"/>
      <c r="P42" s="178"/>
      <c r="Q42" s="179"/>
    </row>
    <row r="43" spans="1:17" s="50" customFormat="1" ht="25" customHeight="1">
      <c r="A43" s="269" t="s">
        <v>405</v>
      </c>
      <c r="B43" s="300" t="s">
        <v>633</v>
      </c>
      <c r="C43" s="272">
        <v>2</v>
      </c>
      <c r="D43" s="272">
        <v>1</v>
      </c>
      <c r="E43" s="272">
        <v>5</v>
      </c>
      <c r="F43" s="180">
        <f t="shared" si="2"/>
        <v>165</v>
      </c>
      <c r="G43" s="268">
        <v>50</v>
      </c>
      <c r="H43" s="268">
        <f t="shared" si="0"/>
        <v>500</v>
      </c>
      <c r="I43" s="177">
        <f t="shared" si="1"/>
        <v>165</v>
      </c>
      <c r="J43" s="178"/>
      <c r="K43" s="178"/>
      <c r="L43" s="178"/>
      <c r="M43" s="178"/>
      <c r="N43" s="178"/>
      <c r="O43" s="178"/>
      <c r="P43" s="178"/>
      <c r="Q43" s="179"/>
    </row>
    <row r="44" spans="1:17" s="50" customFormat="1" ht="25" customHeight="1">
      <c r="A44" s="269" t="s">
        <v>634</v>
      </c>
      <c r="B44" s="304" t="s">
        <v>635</v>
      </c>
      <c r="C44" s="305">
        <v>3</v>
      </c>
      <c r="D44" s="272">
        <v>1</v>
      </c>
      <c r="E44" s="272">
        <v>4</v>
      </c>
      <c r="F44" s="180">
        <f t="shared" si="2"/>
        <v>198</v>
      </c>
      <c r="G44" s="182">
        <v>40</v>
      </c>
      <c r="H44" s="268">
        <f t="shared" si="0"/>
        <v>480</v>
      </c>
      <c r="I44" s="177">
        <f t="shared" si="1"/>
        <v>198</v>
      </c>
      <c r="J44" s="178"/>
      <c r="K44" s="178"/>
      <c r="L44" s="178"/>
      <c r="M44" s="178"/>
      <c r="N44" s="178"/>
      <c r="O44" s="178"/>
      <c r="P44" s="178"/>
      <c r="Q44" s="179"/>
    </row>
    <row r="45" spans="1:17" s="50" customFormat="1" ht="25" customHeight="1">
      <c r="A45" s="269" t="s">
        <v>636</v>
      </c>
      <c r="B45" s="306" t="s">
        <v>637</v>
      </c>
      <c r="C45" s="272">
        <v>5</v>
      </c>
      <c r="D45" s="272">
        <v>1</v>
      </c>
      <c r="E45" s="272">
        <v>4</v>
      </c>
      <c r="F45" s="180">
        <f t="shared" si="2"/>
        <v>330</v>
      </c>
      <c r="G45" s="268">
        <v>0</v>
      </c>
      <c r="H45" s="268">
        <v>0</v>
      </c>
      <c r="I45" s="177">
        <f t="shared" si="1"/>
        <v>330</v>
      </c>
      <c r="J45" s="178"/>
      <c r="K45" s="178"/>
      <c r="L45" s="178"/>
      <c r="M45" s="178"/>
      <c r="N45" s="178"/>
      <c r="O45" s="178"/>
      <c r="P45" s="178"/>
      <c r="Q45" s="179"/>
    </row>
    <row r="46" spans="1:17" s="50" customFormat="1" ht="25" customHeight="1">
      <c r="A46" s="269" t="s">
        <v>638</v>
      </c>
      <c r="B46" s="306" t="s">
        <v>259</v>
      </c>
      <c r="C46" s="305">
        <v>4</v>
      </c>
      <c r="D46" s="272">
        <v>1</v>
      </c>
      <c r="E46" s="272">
        <v>4</v>
      </c>
      <c r="F46" s="180">
        <f t="shared" si="2"/>
        <v>160</v>
      </c>
      <c r="G46" s="184">
        <v>20</v>
      </c>
      <c r="H46" s="268">
        <f>C46*D46*E46*G46</f>
        <v>320</v>
      </c>
      <c r="I46" s="177">
        <f>E46*G46*2</f>
        <v>160</v>
      </c>
      <c r="J46" s="178"/>
      <c r="K46" s="178"/>
      <c r="L46" s="178"/>
      <c r="M46" s="178"/>
      <c r="N46" s="178"/>
      <c r="O46" s="178"/>
      <c r="P46" s="178"/>
      <c r="Q46" s="179"/>
    </row>
    <row r="47" spans="1:17" s="50" customFormat="1" ht="25" customHeight="1">
      <c r="A47" s="269" t="s">
        <v>639</v>
      </c>
      <c r="B47" s="307" t="s">
        <v>256</v>
      </c>
      <c r="C47" s="305">
        <v>2</v>
      </c>
      <c r="D47" s="272">
        <v>1</v>
      </c>
      <c r="E47" s="272">
        <v>2</v>
      </c>
      <c r="F47" s="268"/>
      <c r="G47" s="268"/>
      <c r="H47" s="268"/>
      <c r="I47" s="178"/>
      <c r="J47" s="178"/>
      <c r="K47" s="178"/>
      <c r="L47" s="178"/>
      <c r="M47" s="178"/>
      <c r="N47" s="178"/>
      <c r="O47" s="178"/>
      <c r="P47" s="178"/>
      <c r="Q47" s="179"/>
    </row>
    <row r="48" spans="1:17" s="50" customFormat="1" ht="25" customHeight="1">
      <c r="A48" s="269" t="s">
        <v>640</v>
      </c>
      <c r="B48" s="307" t="s">
        <v>255</v>
      </c>
      <c r="C48" s="305">
        <v>2</v>
      </c>
      <c r="D48" s="272">
        <v>1</v>
      </c>
      <c r="E48" s="272">
        <v>2</v>
      </c>
      <c r="F48" s="268">
        <f>SUM(F12:F47)</f>
        <v>5781.55</v>
      </c>
      <c r="G48" s="172">
        <f>SUM(G12:G47)</f>
        <v>1761</v>
      </c>
      <c r="H48" s="172">
        <f>SUM(H12:H47)</f>
        <v>16353.8</v>
      </c>
      <c r="I48" s="172">
        <f>SUM(I12:I47)</f>
        <v>5781.55</v>
      </c>
      <c r="J48" s="178">
        <v>0</v>
      </c>
      <c r="K48" s="178">
        <v>0</v>
      </c>
      <c r="L48" s="178"/>
      <c r="M48" s="178"/>
      <c r="N48" s="178"/>
      <c r="O48" s="178"/>
      <c r="P48" s="178"/>
      <c r="Q48" s="179"/>
    </row>
    <row r="49" spans="1:17" s="50" customFormat="1" ht="25" customHeight="1">
      <c r="A49" s="269" t="s">
        <v>641</v>
      </c>
      <c r="B49" s="308" t="s">
        <v>642</v>
      </c>
      <c r="C49" s="305">
        <v>1</v>
      </c>
      <c r="D49" s="272">
        <v>1.4</v>
      </c>
      <c r="E49" s="272">
        <v>14</v>
      </c>
      <c r="F49" s="268"/>
      <c r="G49" s="268"/>
      <c r="H49" s="268"/>
      <c r="I49" s="268"/>
      <c r="J49" s="178"/>
      <c r="K49" s="178"/>
      <c r="L49" s="178"/>
      <c r="M49" s="178"/>
      <c r="N49" s="178"/>
      <c r="O49" s="178"/>
      <c r="P49" s="178"/>
      <c r="Q49" s="179"/>
    </row>
    <row r="50" spans="1:17" s="50" customFormat="1" ht="25" customHeight="1">
      <c r="A50" s="269" t="s">
        <v>643</v>
      </c>
      <c r="B50" s="309" t="s">
        <v>408</v>
      </c>
      <c r="C50" s="310">
        <v>1</v>
      </c>
      <c r="D50" s="310">
        <v>1.4</v>
      </c>
      <c r="E50" s="310">
        <v>2</v>
      </c>
      <c r="F50" s="268"/>
      <c r="G50" s="268"/>
      <c r="H50" s="268"/>
      <c r="I50" s="268"/>
      <c r="J50" s="178">
        <v>10</v>
      </c>
      <c r="K50" s="178"/>
      <c r="L50" s="178"/>
      <c r="M50" s="178"/>
      <c r="N50" s="178"/>
      <c r="O50" s="178"/>
      <c r="P50" s="178"/>
      <c r="Q50" s="1872" t="s">
        <v>520</v>
      </c>
    </row>
    <row r="51" spans="1:17" s="50" customFormat="1" ht="25" customHeight="1">
      <c r="A51" s="311" t="s">
        <v>146</v>
      </c>
      <c r="B51" s="312" t="s">
        <v>149</v>
      </c>
      <c r="C51" s="272">
        <v>0</v>
      </c>
      <c r="D51" s="272">
        <v>0</v>
      </c>
      <c r="E51" s="272">
        <v>0</v>
      </c>
      <c r="F51" s="268"/>
      <c r="G51" s="268"/>
      <c r="H51" s="268"/>
      <c r="I51" s="268"/>
      <c r="J51" s="178">
        <v>15</v>
      </c>
      <c r="K51" s="178"/>
      <c r="L51" s="178"/>
      <c r="M51" s="178"/>
      <c r="N51" s="178"/>
      <c r="O51" s="178"/>
      <c r="P51" s="178"/>
      <c r="Q51" s="1872"/>
    </row>
    <row r="52" spans="1:17" s="50" customFormat="1" ht="25" customHeight="1">
      <c r="A52" s="313" t="s">
        <v>230</v>
      </c>
      <c r="B52" s="269" t="s">
        <v>154</v>
      </c>
      <c r="C52" s="272">
        <v>4</v>
      </c>
      <c r="D52" s="272">
        <v>1.4</v>
      </c>
      <c r="E52" s="272">
        <v>4</v>
      </c>
      <c r="F52" s="268"/>
      <c r="G52" s="268"/>
      <c r="H52" s="268"/>
      <c r="I52" s="268"/>
      <c r="J52" s="178">
        <v>5</v>
      </c>
      <c r="K52" s="178"/>
      <c r="L52" s="178"/>
      <c r="M52" s="178"/>
      <c r="N52" s="178"/>
      <c r="O52" s="178"/>
      <c r="P52" s="178"/>
      <c r="Q52" s="1872"/>
    </row>
    <row r="53" spans="1:17" s="50" customFormat="1" ht="25" customHeight="1">
      <c r="A53" s="313" t="s">
        <v>231</v>
      </c>
      <c r="B53" s="269" t="s">
        <v>155</v>
      </c>
      <c r="C53" s="272"/>
      <c r="D53" s="272"/>
      <c r="E53" s="272"/>
      <c r="F53" s="268"/>
      <c r="G53" s="268"/>
      <c r="H53" s="268"/>
      <c r="I53" s="178"/>
      <c r="J53" s="178"/>
      <c r="K53" s="178"/>
      <c r="L53" s="178"/>
      <c r="M53" s="178"/>
      <c r="N53" s="178"/>
      <c r="O53" s="178"/>
      <c r="P53" s="178"/>
      <c r="Q53" s="179"/>
    </row>
    <row r="54" spans="1:17" s="50" customFormat="1" ht="25" customHeight="1">
      <c r="A54" s="313"/>
      <c r="B54" s="314" t="s">
        <v>350</v>
      </c>
      <c r="C54" s="315">
        <f>SUM(C12:C53)</f>
        <v>107</v>
      </c>
      <c r="D54" s="315">
        <f>SUM(D12:D53)</f>
        <v>43.659999999999989</v>
      </c>
      <c r="E54" s="315">
        <f>SUM(E12:E53)</f>
        <v>146</v>
      </c>
      <c r="F54" s="268"/>
      <c r="G54" s="268"/>
      <c r="H54" s="268"/>
      <c r="I54" s="178"/>
      <c r="J54" s="178"/>
      <c r="K54" s="178"/>
      <c r="L54" s="178"/>
      <c r="M54" s="178"/>
      <c r="N54" s="178"/>
      <c r="O54" s="178"/>
      <c r="P54" s="178"/>
      <c r="Q54" s="179"/>
    </row>
    <row r="55" spans="1:17" s="50" customFormat="1" ht="25" customHeight="1">
      <c r="A55" s="311"/>
      <c r="B55" s="314" t="s">
        <v>516</v>
      </c>
      <c r="C55" s="272"/>
      <c r="D55" s="272"/>
      <c r="E55" s="272"/>
      <c r="F55" s="180">
        <f t="shared" ref="F55:F62" si="3">I55+J55+K55</f>
        <v>0</v>
      </c>
      <c r="G55" s="268">
        <v>10</v>
      </c>
      <c r="H55" s="268">
        <f t="shared" ref="H55:H60" si="4">C55*D55*E55*G55</f>
        <v>0</v>
      </c>
      <c r="I55" s="177">
        <f t="shared" ref="I55:I60" si="5">IF(G55&lt;70, C55*E55*16.5*1.5, C55*E55*16.5*1.5)</f>
        <v>0</v>
      </c>
      <c r="J55" s="178"/>
      <c r="K55" s="178"/>
      <c r="L55" s="178"/>
      <c r="M55" s="178"/>
      <c r="N55" s="178"/>
      <c r="O55" s="178"/>
      <c r="P55" s="178"/>
      <c r="Q55" s="179"/>
    </row>
    <row r="56" spans="1:17" s="50" customFormat="1" ht="25" customHeight="1">
      <c r="A56" s="313" t="s">
        <v>523</v>
      </c>
      <c r="B56" s="269" t="s">
        <v>517</v>
      </c>
      <c r="C56" s="272">
        <v>5</v>
      </c>
      <c r="D56" s="272"/>
      <c r="E56" s="272">
        <v>2</v>
      </c>
      <c r="F56" s="180">
        <f t="shared" si="3"/>
        <v>247.5</v>
      </c>
      <c r="G56" s="268">
        <v>10</v>
      </c>
      <c r="H56" s="268">
        <f t="shared" si="4"/>
        <v>0</v>
      </c>
      <c r="I56" s="177">
        <f t="shared" si="5"/>
        <v>247.5</v>
      </c>
      <c r="J56" s="178"/>
      <c r="K56" s="178"/>
      <c r="L56" s="178"/>
      <c r="M56" s="178"/>
      <c r="N56" s="178"/>
      <c r="O56" s="178"/>
      <c r="P56" s="178"/>
      <c r="Q56" s="179"/>
    </row>
    <row r="57" spans="1:17" s="50" customFormat="1" ht="25" customHeight="1">
      <c r="A57" s="313" t="s">
        <v>524</v>
      </c>
      <c r="B57" s="269" t="s">
        <v>518</v>
      </c>
      <c r="C57" s="272">
        <v>5</v>
      </c>
      <c r="D57" s="272"/>
      <c r="E57" s="272">
        <v>3</v>
      </c>
      <c r="F57" s="180">
        <f t="shared" si="3"/>
        <v>371.25</v>
      </c>
      <c r="G57" s="268">
        <v>10</v>
      </c>
      <c r="H57" s="268">
        <f t="shared" si="4"/>
        <v>0</v>
      </c>
      <c r="I57" s="177">
        <f t="shared" si="5"/>
        <v>371.25</v>
      </c>
      <c r="J57" s="178"/>
      <c r="K57" s="178"/>
      <c r="L57" s="178"/>
      <c r="M57" s="178"/>
      <c r="N57" s="178"/>
      <c r="O57" s="178"/>
      <c r="P57" s="178"/>
      <c r="Q57" s="179"/>
    </row>
    <row r="58" spans="1:17" s="50" customFormat="1" ht="25" customHeight="1">
      <c r="A58" s="313" t="s">
        <v>525</v>
      </c>
      <c r="B58" s="296" t="s">
        <v>519</v>
      </c>
      <c r="C58" s="272">
        <v>4</v>
      </c>
      <c r="D58" s="272"/>
      <c r="E58" s="272">
        <v>1</v>
      </c>
      <c r="F58" s="180">
        <f t="shared" si="3"/>
        <v>99</v>
      </c>
      <c r="G58" s="268">
        <v>10</v>
      </c>
      <c r="H58" s="268">
        <f t="shared" si="4"/>
        <v>0</v>
      </c>
      <c r="I58" s="177">
        <f t="shared" si="5"/>
        <v>99</v>
      </c>
      <c r="J58" s="178"/>
      <c r="K58" s="178"/>
      <c r="L58" s="178"/>
      <c r="M58" s="178"/>
      <c r="N58" s="178"/>
      <c r="O58" s="178"/>
      <c r="P58" s="178"/>
      <c r="Q58" s="179"/>
    </row>
    <row r="59" spans="1:17" s="50" customFormat="1" ht="25" customHeight="1">
      <c r="A59" s="316">
        <v>2</v>
      </c>
      <c r="B59" s="316" t="s">
        <v>162</v>
      </c>
      <c r="C59" s="272"/>
      <c r="D59" s="272"/>
      <c r="E59" s="272"/>
      <c r="F59" s="180">
        <f t="shared" si="3"/>
        <v>0</v>
      </c>
      <c r="G59" s="268">
        <v>10</v>
      </c>
      <c r="H59" s="268">
        <f t="shared" si="4"/>
        <v>0</v>
      </c>
      <c r="I59" s="177">
        <f t="shared" si="5"/>
        <v>0</v>
      </c>
      <c r="J59" s="178"/>
      <c r="K59" s="178"/>
      <c r="L59" s="178"/>
      <c r="M59" s="178"/>
      <c r="N59" s="178"/>
      <c r="O59" s="178"/>
      <c r="P59" s="178"/>
      <c r="Q59" s="179"/>
    </row>
    <row r="60" spans="1:17" s="50" customFormat="1" ht="25" customHeight="1">
      <c r="A60" s="317" t="s">
        <v>145</v>
      </c>
      <c r="B60" s="318" t="s">
        <v>163</v>
      </c>
      <c r="C60" s="272"/>
      <c r="D60" s="272"/>
      <c r="E60" s="272"/>
      <c r="F60" s="180">
        <f t="shared" si="3"/>
        <v>0</v>
      </c>
      <c r="G60" s="268">
        <v>15</v>
      </c>
      <c r="H60" s="268">
        <f t="shared" si="4"/>
        <v>0</v>
      </c>
      <c r="I60" s="177">
        <f t="shared" si="5"/>
        <v>0</v>
      </c>
      <c r="J60" s="178"/>
      <c r="K60" s="178"/>
      <c r="L60" s="178"/>
      <c r="M60" s="178"/>
      <c r="N60" s="178"/>
      <c r="O60" s="178"/>
      <c r="P60" s="178"/>
      <c r="Q60" s="179"/>
    </row>
    <row r="61" spans="1:17" s="50" customFormat="1" ht="25" customHeight="1">
      <c r="A61" s="269" t="s">
        <v>224</v>
      </c>
      <c r="B61" s="270" t="s">
        <v>267</v>
      </c>
      <c r="C61" s="272">
        <v>3</v>
      </c>
      <c r="D61" s="272">
        <v>1</v>
      </c>
      <c r="E61" s="272">
        <v>1</v>
      </c>
      <c r="F61" s="180">
        <f t="shared" si="3"/>
        <v>49.5</v>
      </c>
      <c r="G61" s="186"/>
      <c r="H61" s="186"/>
      <c r="I61" s="177">
        <f>IF(G61&lt;70, C61*E61*16.5*1, C61*E61*16.5*1.3)</f>
        <v>49.5</v>
      </c>
      <c r="J61" s="178"/>
      <c r="K61" s="178"/>
      <c r="L61" s="178"/>
      <c r="M61" s="178"/>
      <c r="N61" s="178"/>
      <c r="O61" s="178"/>
      <c r="P61" s="178"/>
      <c r="Q61" s="179"/>
    </row>
    <row r="62" spans="1:17" s="50" customFormat="1" ht="25" customHeight="1">
      <c r="A62" s="269" t="s">
        <v>225</v>
      </c>
      <c r="B62" s="270" t="s">
        <v>268</v>
      </c>
      <c r="C62" s="272">
        <v>3</v>
      </c>
      <c r="D62" s="272">
        <v>1</v>
      </c>
      <c r="E62" s="272">
        <v>1</v>
      </c>
      <c r="F62" s="180">
        <f t="shared" si="3"/>
        <v>385</v>
      </c>
      <c r="G62" s="186">
        <v>11</v>
      </c>
      <c r="H62" s="268">
        <f>C62*G62*D62</f>
        <v>33</v>
      </c>
      <c r="I62" s="177">
        <f>11*35</f>
        <v>385</v>
      </c>
      <c r="J62" s="178"/>
      <c r="K62" s="178"/>
      <c r="L62" s="178"/>
      <c r="M62" s="178"/>
      <c r="N62" s="178"/>
      <c r="O62" s="178"/>
      <c r="P62" s="178"/>
      <c r="Q62" s="179"/>
    </row>
    <row r="63" spans="1:17" s="50" customFormat="1" ht="25" customHeight="1">
      <c r="A63" s="269" t="s">
        <v>226</v>
      </c>
      <c r="B63" s="270" t="s">
        <v>269</v>
      </c>
      <c r="C63" s="272">
        <v>3</v>
      </c>
      <c r="D63" s="272">
        <v>1</v>
      </c>
      <c r="E63" s="272">
        <v>1</v>
      </c>
      <c r="F63" s="268">
        <f>SUM(F55:F62)</f>
        <v>1152.25</v>
      </c>
      <c r="G63" s="172">
        <f>SUM(G55:G62)</f>
        <v>76</v>
      </c>
      <c r="H63" s="172">
        <f>SUM(H55:H62)</f>
        <v>33</v>
      </c>
      <c r="I63" s="172">
        <f>SUM(I55:I62)</f>
        <v>1152.25</v>
      </c>
      <c r="J63" s="178"/>
      <c r="K63" s="178"/>
      <c r="L63" s="178"/>
      <c r="M63" s="178"/>
      <c r="N63" s="178"/>
      <c r="O63" s="178"/>
      <c r="P63" s="178"/>
      <c r="Q63" s="179"/>
    </row>
    <row r="64" spans="1:17" s="50" customFormat="1" ht="25" customHeight="1">
      <c r="A64" s="269" t="s">
        <v>227</v>
      </c>
      <c r="B64" s="270" t="s">
        <v>270</v>
      </c>
      <c r="C64" s="272">
        <v>3</v>
      </c>
      <c r="D64" s="272">
        <v>1</v>
      </c>
      <c r="E64" s="272">
        <v>1</v>
      </c>
      <c r="F64" s="268">
        <v>0</v>
      </c>
      <c r="G64" s="268">
        <v>0</v>
      </c>
      <c r="H64" s="268">
        <v>0</v>
      </c>
      <c r="I64" s="268">
        <v>0</v>
      </c>
      <c r="J64" s="178"/>
      <c r="K64" s="178"/>
      <c r="L64" s="178"/>
      <c r="M64" s="178"/>
      <c r="N64" s="178"/>
      <c r="O64" s="178"/>
      <c r="P64" s="178"/>
      <c r="Q64" s="179"/>
    </row>
    <row r="65" spans="1:17" s="50" customFormat="1" ht="25" customHeight="1">
      <c r="A65" s="269" t="s">
        <v>228</v>
      </c>
      <c r="B65" s="273" t="s">
        <v>271</v>
      </c>
      <c r="C65" s="272">
        <v>3</v>
      </c>
      <c r="D65" s="272">
        <v>1</v>
      </c>
      <c r="E65" s="272">
        <v>1</v>
      </c>
      <c r="F65" s="268"/>
      <c r="G65" s="268"/>
      <c r="H65" s="268"/>
      <c r="I65" s="178"/>
      <c r="J65" s="178"/>
      <c r="K65" s="178"/>
      <c r="L65" s="178"/>
      <c r="M65" s="178"/>
      <c r="N65" s="178"/>
      <c r="O65" s="178"/>
      <c r="P65" s="178"/>
      <c r="Q65" s="179"/>
    </row>
    <row r="66" spans="1:17" s="50" customFormat="1" ht="25" customHeight="1">
      <c r="A66" s="269" t="s">
        <v>229</v>
      </c>
      <c r="B66" s="270" t="s">
        <v>522</v>
      </c>
      <c r="C66" s="272">
        <v>3</v>
      </c>
      <c r="D66" s="272">
        <v>1</v>
      </c>
      <c r="E66" s="272">
        <v>1</v>
      </c>
      <c r="F66" s="268"/>
      <c r="G66" s="268"/>
      <c r="H66" s="268"/>
      <c r="I66" s="178"/>
      <c r="J66" s="178"/>
      <c r="K66" s="178"/>
      <c r="L66" s="178"/>
      <c r="M66" s="178"/>
      <c r="N66" s="178"/>
      <c r="O66" s="178"/>
      <c r="P66" s="178"/>
      <c r="Q66" s="179"/>
    </row>
    <row r="67" spans="1:17" s="50" customFormat="1" ht="25" customHeight="1">
      <c r="A67" s="282" t="s">
        <v>146</v>
      </c>
      <c r="B67" s="283" t="s">
        <v>465</v>
      </c>
      <c r="C67" s="276"/>
      <c r="D67" s="276"/>
      <c r="E67" s="276"/>
      <c r="F67" s="268"/>
      <c r="G67" s="268"/>
      <c r="H67" s="268"/>
      <c r="I67" s="178"/>
      <c r="J67" s="178"/>
      <c r="K67" s="178"/>
      <c r="L67" s="178"/>
      <c r="M67" s="178"/>
      <c r="N67" s="178"/>
      <c r="O67" s="178"/>
      <c r="P67" s="178"/>
      <c r="Q67" s="179"/>
    </row>
    <row r="68" spans="1:17" s="50" customFormat="1" ht="25" customHeight="1">
      <c r="A68" s="282"/>
      <c r="B68" s="275" t="s">
        <v>644</v>
      </c>
      <c r="C68" s="276">
        <v>15</v>
      </c>
      <c r="D68" s="276">
        <v>1</v>
      </c>
      <c r="E68" s="276">
        <v>1</v>
      </c>
      <c r="F68" s="180">
        <f t="shared" ref="F68:F82" si="6">I68+J68+K68</f>
        <v>247.5</v>
      </c>
      <c r="G68" s="268">
        <v>40</v>
      </c>
      <c r="H68" s="268">
        <f t="shared" ref="H68:H82" si="7">C68*D68*E68*G68</f>
        <v>600</v>
      </c>
      <c r="I68" s="177">
        <f t="shared" ref="I68:I82" si="8">IF(G68&lt;70, C68*E68*16.5*1, C68*E68*16.5*1.3)</f>
        <v>247.5</v>
      </c>
      <c r="J68" s="178"/>
      <c r="K68" s="178"/>
      <c r="L68" s="178"/>
      <c r="M68" s="178"/>
      <c r="N68" s="178"/>
      <c r="O68" s="178"/>
      <c r="P68" s="178"/>
      <c r="Q68" s="179"/>
    </row>
    <row r="69" spans="1:17" s="50" customFormat="1" ht="25" customHeight="1">
      <c r="A69" s="269"/>
      <c r="B69" s="314" t="s">
        <v>350</v>
      </c>
      <c r="C69" s="315">
        <f>SUM(C61:C68)</f>
        <v>33</v>
      </c>
      <c r="D69" s="315">
        <f>SUM(D61:D68)</f>
        <v>7</v>
      </c>
      <c r="E69" s="315">
        <f>SUM(E61:E68)</f>
        <v>7</v>
      </c>
      <c r="F69" s="180">
        <f t="shared" si="6"/>
        <v>3811.5</v>
      </c>
      <c r="G69" s="268">
        <v>40</v>
      </c>
      <c r="H69" s="268">
        <f t="shared" si="7"/>
        <v>64680</v>
      </c>
      <c r="I69" s="177">
        <f t="shared" si="8"/>
        <v>3811.5</v>
      </c>
      <c r="J69" s="178"/>
      <c r="K69" s="178"/>
      <c r="L69" s="178"/>
      <c r="M69" s="178"/>
      <c r="N69" s="178"/>
      <c r="O69" s="178"/>
      <c r="P69" s="178"/>
      <c r="Q69" s="179"/>
    </row>
    <row r="70" spans="1:17" s="50" customFormat="1" ht="25" customHeight="1">
      <c r="A70" s="316">
        <v>3</v>
      </c>
      <c r="B70" s="316" t="s">
        <v>164</v>
      </c>
      <c r="C70" s="272">
        <v>0</v>
      </c>
      <c r="D70" s="272">
        <v>0</v>
      </c>
      <c r="E70" s="272">
        <v>0</v>
      </c>
      <c r="F70" s="180">
        <f t="shared" si="6"/>
        <v>0</v>
      </c>
      <c r="G70" s="268">
        <v>40</v>
      </c>
      <c r="H70" s="268">
        <f t="shared" si="7"/>
        <v>0</v>
      </c>
      <c r="I70" s="177">
        <f t="shared" si="8"/>
        <v>0</v>
      </c>
      <c r="J70" s="178"/>
      <c r="K70" s="178"/>
      <c r="L70" s="178"/>
      <c r="M70" s="178"/>
      <c r="N70" s="178"/>
      <c r="O70" s="178"/>
      <c r="P70" s="178"/>
      <c r="Q70" s="179"/>
    </row>
    <row r="71" spans="1:17" s="50" customFormat="1" ht="25" customHeight="1">
      <c r="A71" s="316" t="s">
        <v>7</v>
      </c>
      <c r="B71" s="316" t="s">
        <v>222</v>
      </c>
      <c r="C71" s="272"/>
      <c r="D71" s="272"/>
      <c r="E71" s="272"/>
      <c r="F71" s="180">
        <f t="shared" si="6"/>
        <v>0</v>
      </c>
      <c r="G71" s="268">
        <v>40</v>
      </c>
      <c r="H71" s="268">
        <f t="shared" si="7"/>
        <v>0</v>
      </c>
      <c r="I71" s="177">
        <f t="shared" si="8"/>
        <v>0</v>
      </c>
      <c r="J71" s="178"/>
      <c r="K71" s="178"/>
      <c r="L71" s="178"/>
      <c r="M71" s="178"/>
      <c r="N71" s="178"/>
      <c r="O71" s="178"/>
      <c r="P71" s="178"/>
      <c r="Q71" s="179"/>
    </row>
    <row r="72" spans="1:17" s="50" customFormat="1" ht="25" customHeight="1">
      <c r="A72" s="316">
        <v>1</v>
      </c>
      <c r="B72" s="318" t="s">
        <v>223</v>
      </c>
      <c r="C72" s="272"/>
      <c r="D72" s="272"/>
      <c r="E72" s="272"/>
      <c r="F72" s="180">
        <f t="shared" si="6"/>
        <v>0</v>
      </c>
      <c r="G72" s="268">
        <v>40</v>
      </c>
      <c r="H72" s="268">
        <f t="shared" si="7"/>
        <v>0</v>
      </c>
      <c r="I72" s="177">
        <f t="shared" si="8"/>
        <v>0</v>
      </c>
      <c r="J72" s="178"/>
      <c r="K72" s="178"/>
      <c r="L72" s="178"/>
      <c r="M72" s="178"/>
      <c r="N72" s="178"/>
      <c r="O72" s="178"/>
      <c r="P72" s="178"/>
      <c r="Q72" s="179"/>
    </row>
    <row r="73" spans="1:17" s="50" customFormat="1" ht="25" customHeight="1">
      <c r="A73" s="316" t="s">
        <v>145</v>
      </c>
      <c r="B73" s="318" t="s">
        <v>161</v>
      </c>
      <c r="C73" s="272"/>
      <c r="D73" s="272"/>
      <c r="E73" s="272"/>
      <c r="F73" s="180">
        <f t="shared" si="6"/>
        <v>0</v>
      </c>
      <c r="G73" s="268">
        <v>40</v>
      </c>
      <c r="H73" s="268">
        <f t="shared" si="7"/>
        <v>0</v>
      </c>
      <c r="I73" s="177">
        <f t="shared" si="8"/>
        <v>0</v>
      </c>
      <c r="J73" s="178"/>
      <c r="K73" s="178"/>
      <c r="L73" s="178"/>
      <c r="M73" s="178"/>
      <c r="N73" s="178"/>
      <c r="O73" s="178"/>
      <c r="P73" s="178"/>
      <c r="Q73" s="179"/>
    </row>
    <row r="74" spans="1:17" s="50" customFormat="1" ht="25" customHeight="1">
      <c r="A74" s="313" t="s">
        <v>224</v>
      </c>
      <c r="B74" s="273" t="s">
        <v>264</v>
      </c>
      <c r="C74" s="272">
        <v>3</v>
      </c>
      <c r="D74" s="272">
        <v>1</v>
      </c>
      <c r="E74" s="272">
        <v>3</v>
      </c>
      <c r="F74" s="180">
        <f t="shared" si="6"/>
        <v>148.5</v>
      </c>
      <c r="G74" s="268">
        <v>40</v>
      </c>
      <c r="H74" s="268">
        <f t="shared" si="7"/>
        <v>360</v>
      </c>
      <c r="I74" s="177">
        <f t="shared" si="8"/>
        <v>148.5</v>
      </c>
      <c r="J74" s="178"/>
      <c r="K74" s="178"/>
      <c r="L74" s="178"/>
      <c r="M74" s="178"/>
      <c r="N74" s="178"/>
      <c r="O74" s="178"/>
      <c r="P74" s="178"/>
      <c r="Q74" s="179"/>
    </row>
    <row r="75" spans="1:17" s="50" customFormat="1" ht="25" customHeight="1">
      <c r="A75" s="313" t="s">
        <v>225</v>
      </c>
      <c r="B75" s="273" t="s">
        <v>272</v>
      </c>
      <c r="C75" s="272">
        <v>5</v>
      </c>
      <c r="D75" s="272">
        <v>1</v>
      </c>
      <c r="E75" s="272">
        <v>3</v>
      </c>
      <c r="F75" s="180">
        <f t="shared" si="6"/>
        <v>247.5</v>
      </c>
      <c r="G75" s="268">
        <v>40</v>
      </c>
      <c r="H75" s="268">
        <f t="shared" si="7"/>
        <v>600</v>
      </c>
      <c r="I75" s="177">
        <f t="shared" si="8"/>
        <v>247.5</v>
      </c>
      <c r="J75" s="178"/>
      <c r="K75" s="178"/>
      <c r="L75" s="178"/>
      <c r="M75" s="178"/>
      <c r="N75" s="178"/>
      <c r="O75" s="178"/>
      <c r="P75" s="178"/>
      <c r="Q75" s="179"/>
    </row>
    <row r="76" spans="1:17" s="50" customFormat="1" ht="25" customHeight="1">
      <c r="A76" s="313" t="s">
        <v>226</v>
      </c>
      <c r="B76" s="273" t="s">
        <v>273</v>
      </c>
      <c r="C76" s="272">
        <v>3</v>
      </c>
      <c r="D76" s="272">
        <v>1</v>
      </c>
      <c r="E76" s="272">
        <v>3</v>
      </c>
      <c r="F76" s="180">
        <f t="shared" si="6"/>
        <v>148.5</v>
      </c>
      <c r="G76" s="268">
        <v>40</v>
      </c>
      <c r="H76" s="268">
        <f t="shared" si="7"/>
        <v>360</v>
      </c>
      <c r="I76" s="177">
        <f t="shared" si="8"/>
        <v>148.5</v>
      </c>
      <c r="J76" s="178"/>
      <c r="K76" s="178"/>
      <c r="L76" s="178"/>
      <c r="M76" s="178"/>
      <c r="N76" s="178"/>
      <c r="O76" s="178"/>
      <c r="P76" s="178"/>
      <c r="Q76" s="179"/>
    </row>
    <row r="77" spans="1:17" s="50" customFormat="1" ht="25" customHeight="1">
      <c r="A77" s="313" t="s">
        <v>227</v>
      </c>
      <c r="B77" s="273" t="s">
        <v>274</v>
      </c>
      <c r="C77" s="272">
        <v>2</v>
      </c>
      <c r="D77" s="272">
        <v>1</v>
      </c>
      <c r="E77" s="272">
        <v>3</v>
      </c>
      <c r="F77" s="180">
        <f t="shared" si="6"/>
        <v>99</v>
      </c>
      <c r="G77" s="268">
        <v>40</v>
      </c>
      <c r="H77" s="268">
        <f t="shared" si="7"/>
        <v>240</v>
      </c>
      <c r="I77" s="177">
        <f t="shared" si="8"/>
        <v>99</v>
      </c>
      <c r="J77" s="178"/>
      <c r="K77" s="178"/>
      <c r="L77" s="178"/>
      <c r="M77" s="178"/>
      <c r="N77" s="178"/>
      <c r="O77" s="178"/>
      <c r="P77" s="178"/>
      <c r="Q77" s="179"/>
    </row>
    <row r="78" spans="1:17" s="50" customFormat="1" ht="25" customHeight="1">
      <c r="A78" s="313" t="s">
        <v>228</v>
      </c>
      <c r="B78" s="273" t="s">
        <v>275</v>
      </c>
      <c r="C78" s="272">
        <v>2</v>
      </c>
      <c r="D78" s="272">
        <v>1</v>
      </c>
      <c r="E78" s="272">
        <v>3</v>
      </c>
      <c r="F78" s="180">
        <f t="shared" si="6"/>
        <v>99</v>
      </c>
      <c r="G78" s="268">
        <v>40</v>
      </c>
      <c r="H78" s="268">
        <f t="shared" si="7"/>
        <v>240</v>
      </c>
      <c r="I78" s="177">
        <f t="shared" si="8"/>
        <v>99</v>
      </c>
      <c r="J78" s="178"/>
      <c r="K78" s="178"/>
      <c r="L78" s="178"/>
      <c r="M78" s="178"/>
      <c r="N78" s="178"/>
      <c r="O78" s="178"/>
      <c r="P78" s="178"/>
      <c r="Q78" s="179"/>
    </row>
    <row r="79" spans="1:17" s="50" customFormat="1" ht="25" customHeight="1">
      <c r="A79" s="313" t="s">
        <v>229</v>
      </c>
      <c r="B79" s="273" t="s">
        <v>276</v>
      </c>
      <c r="C79" s="272">
        <v>5</v>
      </c>
      <c r="D79" s="272">
        <v>1</v>
      </c>
      <c r="E79" s="272">
        <v>3</v>
      </c>
      <c r="F79" s="180">
        <f t="shared" si="6"/>
        <v>247.5</v>
      </c>
      <c r="G79" s="268">
        <v>40</v>
      </c>
      <c r="H79" s="268">
        <f t="shared" si="7"/>
        <v>600</v>
      </c>
      <c r="I79" s="177">
        <f t="shared" si="8"/>
        <v>247.5</v>
      </c>
      <c r="J79" s="178"/>
      <c r="K79" s="178"/>
      <c r="L79" s="178"/>
      <c r="M79" s="178"/>
      <c r="N79" s="178"/>
      <c r="O79" s="178"/>
      <c r="P79" s="178"/>
      <c r="Q79" s="179"/>
    </row>
    <row r="80" spans="1:17" s="50" customFormat="1" ht="25" customHeight="1">
      <c r="A80" s="313" t="s">
        <v>280</v>
      </c>
      <c r="B80" s="273" t="s">
        <v>277</v>
      </c>
      <c r="C80" s="272">
        <v>2</v>
      </c>
      <c r="D80" s="272">
        <v>1</v>
      </c>
      <c r="E80" s="272">
        <v>3</v>
      </c>
      <c r="F80" s="180">
        <f t="shared" si="6"/>
        <v>99</v>
      </c>
      <c r="G80" s="268">
        <v>40</v>
      </c>
      <c r="H80" s="268">
        <f t="shared" si="7"/>
        <v>240</v>
      </c>
      <c r="I80" s="177">
        <f t="shared" si="8"/>
        <v>99</v>
      </c>
      <c r="J80" s="178"/>
      <c r="K80" s="178"/>
      <c r="L80" s="178"/>
      <c r="M80" s="178"/>
      <c r="N80" s="178"/>
      <c r="O80" s="178"/>
      <c r="P80" s="178"/>
      <c r="Q80" s="179"/>
    </row>
    <row r="81" spans="1:17" s="50" customFormat="1" ht="25" customHeight="1">
      <c r="A81" s="313" t="s">
        <v>281</v>
      </c>
      <c r="B81" s="285" t="s">
        <v>254</v>
      </c>
      <c r="C81" s="272">
        <v>3</v>
      </c>
      <c r="D81" s="272">
        <v>1</v>
      </c>
      <c r="E81" s="272">
        <v>5</v>
      </c>
      <c r="F81" s="180">
        <f t="shared" si="6"/>
        <v>247.5</v>
      </c>
      <c r="G81" s="268">
        <v>40</v>
      </c>
      <c r="H81" s="268">
        <f t="shared" si="7"/>
        <v>600</v>
      </c>
      <c r="I81" s="177">
        <f t="shared" si="8"/>
        <v>247.5</v>
      </c>
      <c r="J81" s="178"/>
      <c r="K81" s="178"/>
      <c r="L81" s="178"/>
      <c r="M81" s="178"/>
      <c r="N81" s="178"/>
      <c r="O81" s="178"/>
      <c r="P81" s="178"/>
      <c r="Q81" s="179"/>
    </row>
    <row r="82" spans="1:17" s="50" customFormat="1" ht="25" customHeight="1">
      <c r="A82" s="313" t="s">
        <v>282</v>
      </c>
      <c r="B82" s="285" t="s">
        <v>260</v>
      </c>
      <c r="C82" s="272">
        <v>5</v>
      </c>
      <c r="D82" s="272">
        <v>1</v>
      </c>
      <c r="E82" s="272">
        <v>5</v>
      </c>
      <c r="F82" s="180">
        <f t="shared" si="6"/>
        <v>412.5</v>
      </c>
      <c r="G82" s="268">
        <v>40</v>
      </c>
      <c r="H82" s="268">
        <f t="shared" si="7"/>
        <v>1000</v>
      </c>
      <c r="I82" s="177">
        <f t="shared" si="8"/>
        <v>412.5</v>
      </c>
      <c r="J82" s="178"/>
      <c r="K82" s="178"/>
      <c r="L82" s="178"/>
      <c r="M82" s="178"/>
      <c r="N82" s="178"/>
      <c r="O82" s="178"/>
      <c r="P82" s="178"/>
      <c r="Q82" s="179"/>
    </row>
    <row r="83" spans="1:17" s="50" customFormat="1" ht="25" customHeight="1">
      <c r="A83" s="313" t="s">
        <v>283</v>
      </c>
      <c r="B83" s="285" t="s">
        <v>278</v>
      </c>
      <c r="C83" s="272">
        <v>2</v>
      </c>
      <c r="D83" s="272">
        <v>1</v>
      </c>
      <c r="E83" s="272">
        <v>5</v>
      </c>
      <c r="F83" s="268">
        <f>SUM(F68:F82)</f>
        <v>5808</v>
      </c>
      <c r="G83" s="172">
        <f>SUM(G68:G82)</f>
        <v>600</v>
      </c>
      <c r="H83" s="172">
        <f>SUM(H68:H82)</f>
        <v>69520</v>
      </c>
      <c r="I83" s="172">
        <f>SUM(I68:I82)</f>
        <v>5808</v>
      </c>
      <c r="J83" s="178"/>
      <c r="K83" s="178"/>
      <c r="L83" s="178"/>
      <c r="M83" s="178"/>
      <c r="N83" s="178"/>
      <c r="O83" s="178"/>
      <c r="P83" s="178"/>
      <c r="Q83" s="179"/>
    </row>
    <row r="84" spans="1:17" s="50" customFormat="1" ht="25" customHeight="1">
      <c r="A84" s="313" t="s">
        <v>284</v>
      </c>
      <c r="B84" s="273" t="s">
        <v>279</v>
      </c>
      <c r="C84" s="272">
        <v>5</v>
      </c>
      <c r="D84" s="272">
        <v>1</v>
      </c>
      <c r="E84" s="272">
        <v>5</v>
      </c>
      <c r="F84" s="268">
        <v>0</v>
      </c>
      <c r="G84" s="268">
        <v>0</v>
      </c>
      <c r="H84" s="268">
        <v>0</v>
      </c>
      <c r="I84" s="268">
        <v>0</v>
      </c>
      <c r="J84" s="178"/>
      <c r="K84" s="178"/>
      <c r="L84" s="178"/>
      <c r="M84" s="178"/>
      <c r="N84" s="178"/>
      <c r="O84" s="178"/>
      <c r="P84" s="178"/>
      <c r="Q84" s="179"/>
    </row>
    <row r="85" spans="1:17" s="50" customFormat="1" ht="25" customHeight="1">
      <c r="A85" s="313" t="s">
        <v>287</v>
      </c>
      <c r="B85" s="270" t="s">
        <v>285</v>
      </c>
      <c r="C85" s="272">
        <v>3</v>
      </c>
      <c r="D85" s="272">
        <v>1</v>
      </c>
      <c r="E85" s="272">
        <v>3</v>
      </c>
      <c r="F85" s="245">
        <f>F48+F63+F83</f>
        <v>12741.8</v>
      </c>
      <c r="G85" s="187">
        <f>G48+G63+G83</f>
        <v>2437</v>
      </c>
      <c r="H85" s="187">
        <f>H48+H63+H83</f>
        <v>85906.8</v>
      </c>
      <c r="I85" s="187">
        <f>I48+I63+I83</f>
        <v>12741.8</v>
      </c>
      <c r="J85" s="188">
        <v>0</v>
      </c>
      <c r="K85" s="188">
        <v>0</v>
      </c>
      <c r="L85" s="189">
        <f>'Bieu3 GDTH'!F24</f>
        <v>2632</v>
      </c>
      <c r="M85" s="190">
        <f>'Bieu3 GDTH'!N24</f>
        <v>2402.5</v>
      </c>
      <c r="N85" s="190">
        <f>I85-M85</f>
        <v>10339.299999999999</v>
      </c>
      <c r="O85" s="191">
        <f>'Bieu3 GDTH'!O24</f>
        <v>1422.25</v>
      </c>
      <c r="P85" s="191">
        <f>'Bieu3 GDTH'!P24</f>
        <v>780</v>
      </c>
      <c r="Q85" s="192"/>
    </row>
    <row r="86" spans="1:17" s="50" customFormat="1" ht="25" customHeight="1">
      <c r="A86" s="313" t="s">
        <v>288</v>
      </c>
      <c r="B86" s="270" t="s">
        <v>263</v>
      </c>
      <c r="C86" s="272">
        <v>3</v>
      </c>
      <c r="D86" s="272">
        <v>1</v>
      </c>
      <c r="E86" s="272">
        <v>3</v>
      </c>
      <c r="F86" s="290"/>
      <c r="G86" s="289"/>
      <c r="H86" s="289"/>
      <c r="I86" s="289"/>
      <c r="J86" s="291"/>
      <c r="K86" s="291"/>
      <c r="L86" s="292"/>
      <c r="M86" s="293"/>
      <c r="N86" s="293"/>
      <c r="O86" s="294"/>
      <c r="P86" s="294"/>
      <c r="Q86" s="295"/>
    </row>
    <row r="87" spans="1:17" s="50" customFormat="1" ht="25" customHeight="1">
      <c r="A87" s="313" t="s">
        <v>289</v>
      </c>
      <c r="B87" s="270" t="s">
        <v>286</v>
      </c>
      <c r="C87" s="272">
        <v>5</v>
      </c>
      <c r="D87" s="272">
        <v>1</v>
      </c>
      <c r="E87" s="272">
        <v>3</v>
      </c>
      <c r="F87" s="290"/>
      <c r="G87" s="289"/>
      <c r="H87" s="289"/>
      <c r="I87" s="289"/>
      <c r="J87" s="291"/>
      <c r="K87" s="291"/>
      <c r="L87" s="292"/>
      <c r="M87" s="293"/>
      <c r="N87" s="293"/>
      <c r="O87" s="294"/>
      <c r="P87" s="294"/>
      <c r="Q87" s="295"/>
    </row>
    <row r="88" spans="1:17" s="50" customFormat="1" ht="25" customHeight="1">
      <c r="A88" s="313" t="s">
        <v>290</v>
      </c>
      <c r="B88" s="270" t="s">
        <v>261</v>
      </c>
      <c r="C88" s="272">
        <v>3</v>
      </c>
      <c r="D88" s="272">
        <v>1</v>
      </c>
      <c r="E88" s="272">
        <v>3</v>
      </c>
      <c r="F88" s="290"/>
      <c r="G88" s="289"/>
      <c r="H88" s="289"/>
      <c r="I88" s="289"/>
      <c r="J88" s="291"/>
      <c r="K88" s="291"/>
      <c r="L88" s="292"/>
      <c r="M88" s="293"/>
      <c r="N88" s="293"/>
      <c r="O88" s="294"/>
      <c r="P88" s="294"/>
      <c r="Q88" s="295"/>
    </row>
    <row r="89" spans="1:17" s="50" customFormat="1" ht="25" customHeight="1">
      <c r="A89" s="319"/>
      <c r="B89" s="314" t="s">
        <v>350</v>
      </c>
      <c r="C89" s="315">
        <f>SUM(C74:C88)</f>
        <v>51</v>
      </c>
      <c r="D89" s="315">
        <f>SUM(D74:D88)</f>
        <v>15</v>
      </c>
      <c r="E89" s="315">
        <f>SUM(E74:E88)</f>
        <v>53</v>
      </c>
      <c r="F89" s="290"/>
      <c r="G89" s="289"/>
      <c r="H89" s="289"/>
      <c r="I89" s="289"/>
      <c r="J89" s="291"/>
      <c r="K89" s="291"/>
      <c r="L89" s="292"/>
      <c r="M89" s="293"/>
      <c r="N89" s="293"/>
      <c r="O89" s="294"/>
      <c r="P89" s="294"/>
      <c r="Q89" s="295"/>
    </row>
    <row r="90" spans="1:17" s="50" customFormat="1" ht="25" customHeight="1">
      <c r="A90" s="316">
        <v>2</v>
      </c>
      <c r="B90" s="316" t="s">
        <v>83</v>
      </c>
      <c r="C90" s="272">
        <v>0</v>
      </c>
      <c r="D90" s="272">
        <v>0</v>
      </c>
      <c r="E90" s="272">
        <v>0</v>
      </c>
      <c r="F90" s="290"/>
      <c r="G90" s="289"/>
      <c r="H90" s="289"/>
      <c r="I90" s="289"/>
      <c r="J90" s="291"/>
      <c r="K90" s="291"/>
      <c r="L90" s="292"/>
      <c r="M90" s="293"/>
      <c r="N90" s="293"/>
      <c r="O90" s="294"/>
      <c r="P90" s="294"/>
      <c r="Q90" s="295"/>
    </row>
    <row r="91" spans="1:17" s="50" customFormat="1" ht="25" customHeight="1">
      <c r="A91" s="320"/>
      <c r="B91" s="320" t="s">
        <v>369</v>
      </c>
      <c r="C91" s="321">
        <f>C54+C69+C89</f>
        <v>191</v>
      </c>
      <c r="D91" s="321">
        <f>D54+D69+D89</f>
        <v>65.66</v>
      </c>
      <c r="E91" s="321">
        <f>E54+E69+E89</f>
        <v>206</v>
      </c>
      <c r="F91" s="290"/>
      <c r="G91" s="289"/>
      <c r="H91" s="289"/>
      <c r="I91" s="289"/>
      <c r="J91" s="291"/>
      <c r="K91" s="291"/>
      <c r="L91" s="292"/>
      <c r="M91" s="293"/>
      <c r="N91" s="293"/>
      <c r="O91" s="294"/>
      <c r="P91" s="294"/>
      <c r="Q91" s="295"/>
    </row>
    <row r="92" spans="1:17" s="50" customFormat="1" ht="25" customHeight="1">
      <c r="A92" s="168" t="s">
        <v>18</v>
      </c>
      <c r="B92" s="168" t="s">
        <v>370</v>
      </c>
      <c r="C92" s="268"/>
      <c r="D92" s="268"/>
      <c r="E92" s="268"/>
      <c r="F92" s="268"/>
      <c r="G92" s="268"/>
      <c r="H92" s="268"/>
      <c r="I92" s="178"/>
      <c r="J92" s="178"/>
      <c r="K92" s="178"/>
      <c r="L92" s="178"/>
      <c r="M92" s="178"/>
      <c r="N92" s="178"/>
      <c r="O92" s="178"/>
      <c r="P92" s="178"/>
      <c r="Q92" s="179"/>
    </row>
    <row r="93" spans="1:17" s="50" customFormat="1" ht="25" customHeight="1">
      <c r="A93" s="193" t="s">
        <v>372</v>
      </c>
      <c r="B93" s="193" t="s">
        <v>373</v>
      </c>
      <c r="C93" s="268"/>
      <c r="D93" s="268"/>
      <c r="E93" s="268"/>
      <c r="F93" s="268"/>
      <c r="G93" s="268"/>
      <c r="H93" s="268"/>
      <c r="I93" s="178"/>
      <c r="J93" s="178"/>
      <c r="K93" s="178"/>
      <c r="L93" s="178"/>
      <c r="M93" s="178"/>
      <c r="N93" s="178"/>
      <c r="O93" s="178"/>
      <c r="P93" s="178"/>
      <c r="Q93" s="179"/>
    </row>
    <row r="94" spans="1:17" s="50" customFormat="1" ht="25" customHeight="1">
      <c r="A94" s="193">
        <v>1</v>
      </c>
      <c r="B94" s="193" t="s">
        <v>374</v>
      </c>
      <c r="C94" s="268"/>
      <c r="D94" s="268"/>
      <c r="E94" s="268"/>
      <c r="F94" s="268"/>
      <c r="G94" s="268"/>
      <c r="H94" s="268"/>
      <c r="I94" s="178"/>
      <c r="J94" s="178"/>
      <c r="K94" s="178"/>
      <c r="L94" s="178"/>
      <c r="M94" s="178"/>
      <c r="N94" s="178"/>
      <c r="O94" s="178"/>
      <c r="P94" s="178"/>
      <c r="Q94" s="179"/>
    </row>
    <row r="95" spans="1:17" s="50" customFormat="1" ht="25" customHeight="1">
      <c r="A95" s="194" t="s">
        <v>145</v>
      </c>
      <c r="B95" s="195" t="s">
        <v>159</v>
      </c>
      <c r="C95" s="268"/>
      <c r="D95" s="268"/>
      <c r="E95" s="268"/>
      <c r="F95" s="268"/>
      <c r="G95" s="268"/>
      <c r="H95" s="268"/>
      <c r="I95" s="178"/>
      <c r="J95" s="178"/>
      <c r="K95" s="178"/>
      <c r="L95" s="178"/>
      <c r="M95" s="178"/>
      <c r="N95" s="178"/>
      <c r="O95" s="178"/>
      <c r="P95" s="178"/>
      <c r="Q95" s="179"/>
    </row>
    <row r="96" spans="1:17" s="50" customFormat="1" ht="25" customHeight="1">
      <c r="A96" s="269" t="s">
        <v>224</v>
      </c>
      <c r="B96" s="270" t="s">
        <v>581</v>
      </c>
      <c r="C96" s="271">
        <v>3</v>
      </c>
      <c r="D96" s="271">
        <v>1</v>
      </c>
      <c r="E96" s="271">
        <v>3</v>
      </c>
      <c r="F96" s="180">
        <f t="shared" ref="F96:F119" si="9">I96+J96+K96</f>
        <v>148.5</v>
      </c>
      <c r="G96" s="196">
        <v>60</v>
      </c>
      <c r="H96" s="268">
        <f t="shared" ref="H96:H118" si="10">C96*D96*E96*G96</f>
        <v>540</v>
      </c>
      <c r="I96" s="177">
        <f t="shared" ref="I96:I110" si="11">IF(G96&lt;70, C96*E96*16.5*1, C96*E96*16.5*1.3)</f>
        <v>148.5</v>
      </c>
      <c r="J96" s="197"/>
      <c r="K96" s="197"/>
      <c r="L96" s="178"/>
      <c r="M96" s="178"/>
      <c r="N96" s="178"/>
      <c r="O96" s="178"/>
      <c r="P96" s="178"/>
      <c r="Q96" s="179"/>
    </row>
    <row r="97" spans="1:17" s="50" customFormat="1" ht="25" customHeight="1">
      <c r="A97" s="269" t="s">
        <v>225</v>
      </c>
      <c r="B97" s="270" t="s">
        <v>582</v>
      </c>
      <c r="C97" s="271">
        <v>4</v>
      </c>
      <c r="D97" s="271">
        <v>1.3</v>
      </c>
      <c r="E97" s="271">
        <v>3</v>
      </c>
      <c r="F97" s="180">
        <f t="shared" si="9"/>
        <v>257.40000000000003</v>
      </c>
      <c r="G97" s="196">
        <v>70</v>
      </c>
      <c r="H97" s="268">
        <f t="shared" si="10"/>
        <v>1092</v>
      </c>
      <c r="I97" s="177">
        <f t="shared" si="11"/>
        <v>257.40000000000003</v>
      </c>
      <c r="J97" s="197"/>
      <c r="K97" s="197"/>
      <c r="L97" s="178"/>
      <c r="M97" s="178"/>
      <c r="N97" s="178"/>
      <c r="O97" s="178"/>
      <c r="P97" s="178"/>
      <c r="Q97" s="179"/>
    </row>
    <row r="98" spans="1:17" s="50" customFormat="1" ht="25" customHeight="1">
      <c r="A98" s="269" t="s">
        <v>226</v>
      </c>
      <c r="B98" s="270" t="s">
        <v>583</v>
      </c>
      <c r="C98" s="271">
        <v>1</v>
      </c>
      <c r="D98" s="271">
        <v>1.3</v>
      </c>
      <c r="E98" s="271">
        <v>8</v>
      </c>
      <c r="F98" s="180">
        <f t="shared" si="9"/>
        <v>132</v>
      </c>
      <c r="G98" s="196">
        <v>20</v>
      </c>
      <c r="H98" s="268">
        <f t="shared" si="10"/>
        <v>208</v>
      </c>
      <c r="I98" s="177">
        <f t="shared" si="11"/>
        <v>132</v>
      </c>
      <c r="J98" s="197"/>
      <c r="K98" s="197"/>
      <c r="L98" s="178"/>
      <c r="M98" s="178"/>
      <c r="N98" s="178"/>
      <c r="O98" s="178"/>
      <c r="P98" s="178"/>
      <c r="Q98" s="179"/>
    </row>
    <row r="99" spans="1:17" s="50" customFormat="1" ht="25" customHeight="1">
      <c r="A99" s="269" t="s">
        <v>226</v>
      </c>
      <c r="B99" s="270" t="s">
        <v>584</v>
      </c>
      <c r="C99" s="271">
        <v>1</v>
      </c>
      <c r="D99" s="271">
        <v>1.3</v>
      </c>
      <c r="E99" s="271">
        <v>8</v>
      </c>
      <c r="F99" s="180">
        <f t="shared" si="9"/>
        <v>132</v>
      </c>
      <c r="G99" s="196">
        <v>20</v>
      </c>
      <c r="H99" s="268">
        <f t="shared" si="10"/>
        <v>208</v>
      </c>
      <c r="I99" s="177">
        <f t="shared" si="11"/>
        <v>132</v>
      </c>
      <c r="J99" s="197"/>
      <c r="K99" s="197"/>
      <c r="L99" s="178"/>
      <c r="M99" s="178"/>
      <c r="N99" s="178"/>
      <c r="O99" s="178"/>
      <c r="P99" s="178"/>
      <c r="Q99" s="179"/>
    </row>
    <row r="100" spans="1:17" s="50" customFormat="1" ht="25" customHeight="1">
      <c r="A100" s="269" t="s">
        <v>227</v>
      </c>
      <c r="B100" s="270" t="s">
        <v>585</v>
      </c>
      <c r="C100" s="271">
        <v>1</v>
      </c>
      <c r="D100" s="271">
        <v>1.3</v>
      </c>
      <c r="E100" s="271">
        <v>7</v>
      </c>
      <c r="F100" s="180">
        <f t="shared" si="9"/>
        <v>115.5</v>
      </c>
      <c r="G100" s="196">
        <v>60</v>
      </c>
      <c r="H100" s="268">
        <f t="shared" si="10"/>
        <v>546</v>
      </c>
      <c r="I100" s="177">
        <f t="shared" si="11"/>
        <v>115.5</v>
      </c>
      <c r="J100" s="197"/>
      <c r="K100" s="197"/>
      <c r="L100" s="178"/>
      <c r="M100" s="178"/>
      <c r="N100" s="178"/>
      <c r="O100" s="178"/>
      <c r="P100" s="178"/>
      <c r="Q100" s="179"/>
    </row>
    <row r="101" spans="1:17" s="50" customFormat="1" ht="25" customHeight="1">
      <c r="A101" s="269" t="s">
        <v>228</v>
      </c>
      <c r="B101" s="270" t="s">
        <v>380</v>
      </c>
      <c r="C101" s="271">
        <v>4</v>
      </c>
      <c r="D101" s="271">
        <v>1</v>
      </c>
      <c r="E101" s="271">
        <v>3</v>
      </c>
      <c r="F101" s="180">
        <f t="shared" si="9"/>
        <v>198</v>
      </c>
      <c r="G101" s="196">
        <v>25</v>
      </c>
      <c r="H101" s="268">
        <f t="shared" si="10"/>
        <v>300</v>
      </c>
      <c r="I101" s="177">
        <f t="shared" si="11"/>
        <v>198</v>
      </c>
      <c r="J101" s="197"/>
      <c r="K101" s="197"/>
      <c r="L101" s="178"/>
      <c r="M101" s="178"/>
      <c r="N101" s="178"/>
      <c r="O101" s="178"/>
      <c r="P101" s="178"/>
      <c r="Q101" s="179"/>
    </row>
    <row r="102" spans="1:17" s="50" customFormat="1" ht="25" customHeight="1">
      <c r="A102" s="269" t="s">
        <v>280</v>
      </c>
      <c r="B102" s="270" t="s">
        <v>586</v>
      </c>
      <c r="C102" s="271">
        <v>2</v>
      </c>
      <c r="D102" s="271">
        <v>1</v>
      </c>
      <c r="E102" s="271">
        <v>3</v>
      </c>
      <c r="F102" s="180">
        <f t="shared" si="9"/>
        <v>128.70000000000002</v>
      </c>
      <c r="G102" s="196">
        <v>70</v>
      </c>
      <c r="H102" s="268">
        <f t="shared" si="10"/>
        <v>420</v>
      </c>
      <c r="I102" s="177">
        <f t="shared" si="11"/>
        <v>128.70000000000002</v>
      </c>
      <c r="J102" s="197"/>
      <c r="K102" s="197"/>
      <c r="L102" s="178"/>
      <c r="M102" s="178"/>
      <c r="N102" s="178"/>
      <c r="O102" s="178"/>
      <c r="P102" s="178"/>
      <c r="Q102" s="179"/>
    </row>
    <row r="103" spans="1:17" s="50" customFormat="1" ht="25" customHeight="1">
      <c r="A103" s="269" t="s">
        <v>281</v>
      </c>
      <c r="B103" s="270" t="s">
        <v>587</v>
      </c>
      <c r="C103" s="271">
        <v>3</v>
      </c>
      <c r="D103" s="271">
        <v>1</v>
      </c>
      <c r="E103" s="271">
        <v>2</v>
      </c>
      <c r="F103" s="180">
        <f t="shared" si="9"/>
        <v>99</v>
      </c>
      <c r="G103" s="196">
        <v>60</v>
      </c>
      <c r="H103" s="268">
        <f t="shared" si="10"/>
        <v>360</v>
      </c>
      <c r="I103" s="177">
        <f t="shared" si="11"/>
        <v>99</v>
      </c>
      <c r="J103" s="197"/>
      <c r="K103" s="197"/>
      <c r="L103" s="178"/>
      <c r="M103" s="178"/>
      <c r="N103" s="178"/>
      <c r="O103" s="178"/>
      <c r="P103" s="178"/>
      <c r="Q103" s="179"/>
    </row>
    <row r="104" spans="1:17" s="50" customFormat="1" ht="25" customHeight="1">
      <c r="A104" s="269" t="s">
        <v>282</v>
      </c>
      <c r="B104" s="270" t="s">
        <v>588</v>
      </c>
      <c r="C104" s="271">
        <v>3</v>
      </c>
      <c r="D104" s="271">
        <v>1.1000000000000001</v>
      </c>
      <c r="E104" s="271">
        <v>3</v>
      </c>
      <c r="F104" s="180">
        <f t="shared" si="9"/>
        <v>193.05</v>
      </c>
      <c r="G104" s="196">
        <v>70</v>
      </c>
      <c r="H104" s="268">
        <f t="shared" si="10"/>
        <v>693</v>
      </c>
      <c r="I104" s="177">
        <f t="shared" si="11"/>
        <v>193.05</v>
      </c>
      <c r="J104" s="197"/>
      <c r="K104" s="197"/>
      <c r="L104" s="178"/>
      <c r="M104" s="178"/>
      <c r="N104" s="178"/>
      <c r="O104" s="178"/>
      <c r="P104" s="178"/>
      <c r="Q104" s="179"/>
    </row>
    <row r="105" spans="1:17" s="50" customFormat="1" ht="25" customHeight="1">
      <c r="A105" s="269" t="s">
        <v>283</v>
      </c>
      <c r="B105" s="270" t="s">
        <v>589</v>
      </c>
      <c r="C105" s="272">
        <v>3</v>
      </c>
      <c r="D105" s="272">
        <v>1</v>
      </c>
      <c r="E105" s="272">
        <v>2</v>
      </c>
      <c r="F105" s="180">
        <f t="shared" si="9"/>
        <v>128.70000000000002</v>
      </c>
      <c r="G105" s="198">
        <v>70</v>
      </c>
      <c r="H105" s="268">
        <f t="shared" si="10"/>
        <v>420</v>
      </c>
      <c r="I105" s="177">
        <f t="shared" si="11"/>
        <v>128.70000000000002</v>
      </c>
      <c r="J105" s="197"/>
      <c r="K105" s="197"/>
      <c r="L105" s="178"/>
      <c r="M105" s="178"/>
      <c r="N105" s="178"/>
      <c r="O105" s="178"/>
      <c r="P105" s="178"/>
      <c r="Q105" s="179"/>
    </row>
    <row r="106" spans="1:17" s="50" customFormat="1" ht="25" customHeight="1">
      <c r="A106" s="269" t="s">
        <v>284</v>
      </c>
      <c r="B106" s="270" t="s">
        <v>590</v>
      </c>
      <c r="C106" s="272">
        <v>4</v>
      </c>
      <c r="D106" s="272">
        <v>1</v>
      </c>
      <c r="E106" s="272">
        <v>3</v>
      </c>
      <c r="F106" s="180">
        <f t="shared" si="9"/>
        <v>257.40000000000003</v>
      </c>
      <c r="G106" s="198">
        <v>70</v>
      </c>
      <c r="H106" s="268">
        <f t="shared" si="10"/>
        <v>840</v>
      </c>
      <c r="I106" s="177">
        <f t="shared" si="11"/>
        <v>257.40000000000003</v>
      </c>
      <c r="J106" s="197"/>
      <c r="K106" s="197"/>
      <c r="L106" s="178"/>
      <c r="M106" s="178"/>
      <c r="N106" s="178"/>
      <c r="O106" s="178"/>
      <c r="P106" s="178"/>
      <c r="Q106" s="179"/>
    </row>
    <row r="107" spans="1:17" s="50" customFormat="1" ht="25" customHeight="1">
      <c r="A107" s="269" t="s">
        <v>287</v>
      </c>
      <c r="B107" s="270" t="s">
        <v>591</v>
      </c>
      <c r="C107" s="272">
        <v>2</v>
      </c>
      <c r="D107" s="272">
        <v>1.3</v>
      </c>
      <c r="E107" s="272">
        <v>6</v>
      </c>
      <c r="F107" s="180">
        <f t="shared" si="9"/>
        <v>198</v>
      </c>
      <c r="G107" s="198">
        <v>25</v>
      </c>
      <c r="H107" s="268">
        <f t="shared" si="10"/>
        <v>390.00000000000006</v>
      </c>
      <c r="I107" s="177">
        <f t="shared" si="11"/>
        <v>198</v>
      </c>
      <c r="J107" s="197"/>
      <c r="K107" s="197"/>
      <c r="L107" s="178"/>
      <c r="M107" s="178"/>
      <c r="N107" s="178"/>
      <c r="O107" s="178"/>
      <c r="P107" s="178"/>
      <c r="Q107" s="179"/>
    </row>
    <row r="108" spans="1:17" s="50" customFormat="1" ht="25" customHeight="1">
      <c r="A108" s="269" t="s">
        <v>288</v>
      </c>
      <c r="B108" s="270" t="s">
        <v>592</v>
      </c>
      <c r="C108" s="272">
        <v>3</v>
      </c>
      <c r="D108" s="272">
        <v>1</v>
      </c>
      <c r="E108" s="272">
        <v>2</v>
      </c>
      <c r="F108" s="180">
        <f t="shared" si="9"/>
        <v>128.70000000000002</v>
      </c>
      <c r="G108" s="198">
        <v>70</v>
      </c>
      <c r="H108" s="268">
        <f t="shared" si="10"/>
        <v>420</v>
      </c>
      <c r="I108" s="177">
        <f t="shared" si="11"/>
        <v>128.70000000000002</v>
      </c>
      <c r="J108" s="197"/>
      <c r="K108" s="197"/>
      <c r="L108" s="178"/>
      <c r="M108" s="178"/>
      <c r="N108" s="178"/>
      <c r="O108" s="178"/>
      <c r="P108" s="178"/>
      <c r="Q108" s="179"/>
    </row>
    <row r="109" spans="1:17" s="50" customFormat="1" ht="25" customHeight="1">
      <c r="A109" s="269" t="s">
        <v>289</v>
      </c>
      <c r="B109" s="270" t="s">
        <v>492</v>
      </c>
      <c r="C109" s="272">
        <v>2</v>
      </c>
      <c r="D109" s="272">
        <v>1</v>
      </c>
      <c r="E109" s="272">
        <v>1</v>
      </c>
      <c r="F109" s="180">
        <f t="shared" si="9"/>
        <v>33</v>
      </c>
      <c r="G109" s="198">
        <v>40</v>
      </c>
      <c r="H109" s="268">
        <f t="shared" si="10"/>
        <v>80</v>
      </c>
      <c r="I109" s="177">
        <f t="shared" si="11"/>
        <v>33</v>
      </c>
      <c r="J109" s="197"/>
      <c r="K109" s="197"/>
      <c r="L109" s="178"/>
      <c r="M109" s="178"/>
      <c r="N109" s="178"/>
      <c r="O109" s="178"/>
      <c r="P109" s="178"/>
      <c r="Q109" s="179"/>
    </row>
    <row r="110" spans="1:17" s="50" customFormat="1" ht="25" customHeight="1">
      <c r="A110" s="269" t="s">
        <v>290</v>
      </c>
      <c r="B110" s="273" t="s">
        <v>593</v>
      </c>
      <c r="C110" s="272">
        <v>4</v>
      </c>
      <c r="D110" s="272">
        <v>1</v>
      </c>
      <c r="E110" s="272">
        <v>3</v>
      </c>
      <c r="F110" s="180">
        <f t="shared" si="9"/>
        <v>257.40000000000003</v>
      </c>
      <c r="G110" s="198">
        <v>70</v>
      </c>
      <c r="H110" s="268">
        <f t="shared" si="10"/>
        <v>840</v>
      </c>
      <c r="I110" s="177">
        <f t="shared" si="11"/>
        <v>257.40000000000003</v>
      </c>
      <c r="J110" s="172">
        <v>0</v>
      </c>
      <c r="K110" s="172">
        <v>0</v>
      </c>
      <c r="L110" s="178"/>
      <c r="M110" s="178"/>
      <c r="N110" s="178"/>
      <c r="O110" s="178"/>
      <c r="P110" s="178"/>
      <c r="Q110" s="179"/>
    </row>
    <row r="111" spans="1:17" s="50" customFormat="1" ht="25" customHeight="1">
      <c r="A111" s="269" t="s">
        <v>390</v>
      </c>
      <c r="B111" s="273" t="s">
        <v>594</v>
      </c>
      <c r="C111" s="272">
        <v>3</v>
      </c>
      <c r="D111" s="272">
        <v>1.2</v>
      </c>
      <c r="E111" s="272">
        <v>2</v>
      </c>
      <c r="F111" s="180">
        <f t="shared" si="9"/>
        <v>30</v>
      </c>
      <c r="G111" s="198">
        <v>25</v>
      </c>
      <c r="H111" s="268">
        <f t="shared" si="10"/>
        <v>179.99999999999997</v>
      </c>
      <c r="I111" s="177">
        <f>E111*15</f>
        <v>30</v>
      </c>
      <c r="J111" s="178"/>
      <c r="K111" s="178"/>
      <c r="L111" s="178"/>
      <c r="M111" s="178"/>
      <c r="N111" s="178"/>
      <c r="O111" s="178"/>
      <c r="P111" s="178"/>
      <c r="Q111" s="179"/>
    </row>
    <row r="112" spans="1:17" s="50" customFormat="1" ht="25" customHeight="1">
      <c r="A112" s="269" t="s">
        <v>391</v>
      </c>
      <c r="B112" s="273" t="s">
        <v>595</v>
      </c>
      <c r="C112" s="272">
        <v>4</v>
      </c>
      <c r="D112" s="272">
        <v>1</v>
      </c>
      <c r="E112" s="272">
        <v>3</v>
      </c>
      <c r="F112" s="180">
        <f t="shared" si="9"/>
        <v>198</v>
      </c>
      <c r="G112" s="198">
        <v>25</v>
      </c>
      <c r="H112" s="268">
        <f t="shared" si="10"/>
        <v>300</v>
      </c>
      <c r="I112" s="176"/>
      <c r="J112" s="177">
        <f>IF(G112&lt;70, C112*E112*16.5*1, C112*E112*16.5*1.3)</f>
        <v>198</v>
      </c>
      <c r="K112" s="178"/>
      <c r="L112" s="178"/>
      <c r="M112" s="178"/>
      <c r="N112" s="178"/>
      <c r="O112" s="178"/>
      <c r="P112" s="178"/>
      <c r="Q112" s="179"/>
    </row>
    <row r="113" spans="1:17" s="50" customFormat="1" ht="25" customHeight="1">
      <c r="A113" s="269" t="s">
        <v>392</v>
      </c>
      <c r="B113" s="273" t="s">
        <v>596</v>
      </c>
      <c r="C113" s="272">
        <v>4</v>
      </c>
      <c r="D113" s="272">
        <v>1</v>
      </c>
      <c r="E113" s="272">
        <v>3</v>
      </c>
      <c r="F113" s="180">
        <f t="shared" si="9"/>
        <v>257.40000000000003</v>
      </c>
      <c r="G113" s="198">
        <v>70</v>
      </c>
      <c r="H113" s="268">
        <f t="shared" si="10"/>
        <v>840</v>
      </c>
      <c r="I113" s="177">
        <f>IF(G113&lt;70, C113*E113*16.5*1, C113*E113*16.5*1.3)</f>
        <v>257.40000000000003</v>
      </c>
      <c r="J113" s="178"/>
      <c r="K113" s="178"/>
      <c r="L113" s="178"/>
      <c r="M113" s="178"/>
      <c r="N113" s="178"/>
      <c r="O113" s="178"/>
      <c r="P113" s="178"/>
      <c r="Q113" s="179"/>
    </row>
    <row r="114" spans="1:17" s="50" customFormat="1" ht="25" customHeight="1">
      <c r="A114" s="269" t="s">
        <v>393</v>
      </c>
      <c r="B114" s="273" t="s">
        <v>371</v>
      </c>
      <c r="C114" s="272">
        <v>2</v>
      </c>
      <c r="D114" s="272">
        <v>1.3</v>
      </c>
      <c r="E114" s="272">
        <v>2</v>
      </c>
      <c r="F114" s="180">
        <f t="shared" si="9"/>
        <v>85.8</v>
      </c>
      <c r="G114" s="198">
        <v>70</v>
      </c>
      <c r="H114" s="268">
        <f t="shared" si="10"/>
        <v>364</v>
      </c>
      <c r="I114" s="177">
        <f t="shared" ref="I114:I119" si="12">IF(G114&lt;70, C114*E114*16.5*1, C114*E114*16.5*1.3)</f>
        <v>85.8</v>
      </c>
      <c r="J114" s="178"/>
      <c r="K114" s="178"/>
      <c r="L114" s="178"/>
      <c r="M114" s="178"/>
      <c r="N114" s="178"/>
      <c r="O114" s="178"/>
      <c r="P114" s="178"/>
      <c r="Q114" s="179"/>
    </row>
    <row r="115" spans="1:17" s="50" customFormat="1" ht="25" customHeight="1">
      <c r="A115" s="269" t="s">
        <v>394</v>
      </c>
      <c r="B115" s="273" t="s">
        <v>597</v>
      </c>
      <c r="C115" s="272">
        <v>4</v>
      </c>
      <c r="D115" s="272">
        <v>1.3</v>
      </c>
      <c r="E115" s="272">
        <v>3</v>
      </c>
      <c r="F115" s="180">
        <f t="shared" si="9"/>
        <v>257.40000000000003</v>
      </c>
      <c r="G115" s="198">
        <v>70</v>
      </c>
      <c r="H115" s="268">
        <f t="shared" si="10"/>
        <v>1092</v>
      </c>
      <c r="I115" s="177">
        <f t="shared" si="12"/>
        <v>257.40000000000003</v>
      </c>
      <c r="J115" s="178"/>
      <c r="K115" s="178"/>
      <c r="L115" s="178"/>
      <c r="M115" s="178"/>
      <c r="N115" s="178"/>
      <c r="O115" s="178"/>
      <c r="P115" s="178"/>
      <c r="Q115" s="179"/>
    </row>
    <row r="116" spans="1:17" s="50" customFormat="1" ht="25" customHeight="1">
      <c r="A116" s="269"/>
      <c r="B116" s="273" t="s">
        <v>598</v>
      </c>
      <c r="C116" s="272">
        <v>3</v>
      </c>
      <c r="D116" s="272">
        <v>1</v>
      </c>
      <c r="E116" s="272">
        <v>2</v>
      </c>
      <c r="F116" s="180">
        <f t="shared" si="9"/>
        <v>128.70000000000002</v>
      </c>
      <c r="G116" s="198">
        <v>70</v>
      </c>
      <c r="H116" s="268">
        <f t="shared" si="10"/>
        <v>420</v>
      </c>
      <c r="I116" s="177">
        <f t="shared" si="12"/>
        <v>128.70000000000002</v>
      </c>
      <c r="J116" s="197">
        <v>0</v>
      </c>
      <c r="K116" s="197">
        <v>0</v>
      </c>
      <c r="L116" s="178"/>
      <c r="M116" s="178"/>
      <c r="N116" s="178"/>
      <c r="O116" s="178"/>
      <c r="P116" s="178"/>
      <c r="Q116" s="179"/>
    </row>
    <row r="117" spans="1:17" s="50" customFormat="1" ht="25" customHeight="1">
      <c r="A117" s="269" t="s">
        <v>395</v>
      </c>
      <c r="B117" s="273" t="s">
        <v>599</v>
      </c>
      <c r="C117" s="272">
        <v>2</v>
      </c>
      <c r="D117" s="272">
        <v>1.3</v>
      </c>
      <c r="E117" s="272">
        <v>2</v>
      </c>
      <c r="F117" s="180">
        <f t="shared" si="9"/>
        <v>85.8</v>
      </c>
      <c r="G117" s="198">
        <v>70</v>
      </c>
      <c r="H117" s="268">
        <f t="shared" si="10"/>
        <v>364</v>
      </c>
      <c r="I117" s="177">
        <f t="shared" si="12"/>
        <v>85.8</v>
      </c>
      <c r="J117" s="197">
        <v>0</v>
      </c>
      <c r="K117" s="197">
        <v>0</v>
      </c>
      <c r="L117" s="178"/>
      <c r="M117" s="178"/>
      <c r="N117" s="178"/>
      <c r="O117" s="178"/>
      <c r="P117" s="178"/>
      <c r="Q117" s="179"/>
    </row>
    <row r="118" spans="1:17" s="50" customFormat="1" ht="25" customHeight="1">
      <c r="A118" s="269"/>
      <c r="B118" s="273" t="s">
        <v>600</v>
      </c>
      <c r="C118" s="272">
        <v>4</v>
      </c>
      <c r="D118" s="272">
        <v>1</v>
      </c>
      <c r="E118" s="272">
        <v>3</v>
      </c>
      <c r="F118" s="180">
        <f t="shared" si="9"/>
        <v>257.40000000000003</v>
      </c>
      <c r="G118" s="268">
        <v>70</v>
      </c>
      <c r="H118" s="268">
        <f t="shared" si="10"/>
        <v>840</v>
      </c>
      <c r="I118" s="177">
        <f t="shared" si="12"/>
        <v>257.40000000000003</v>
      </c>
      <c r="J118" s="197">
        <v>0</v>
      </c>
      <c r="K118" s="197">
        <v>0</v>
      </c>
      <c r="L118" s="178"/>
      <c r="M118" s="178"/>
      <c r="N118" s="178"/>
      <c r="O118" s="178"/>
      <c r="P118" s="178"/>
      <c r="Q118" s="179"/>
    </row>
    <row r="119" spans="1:17" s="50" customFormat="1" ht="25" customHeight="1">
      <c r="A119" s="269" t="s">
        <v>396</v>
      </c>
      <c r="B119" s="273" t="s">
        <v>601</v>
      </c>
      <c r="C119" s="272">
        <v>4</v>
      </c>
      <c r="D119" s="272">
        <v>1.1200000000000001</v>
      </c>
      <c r="E119" s="272">
        <v>3</v>
      </c>
      <c r="F119" s="180">
        <f t="shared" si="9"/>
        <v>198</v>
      </c>
      <c r="G119" s="198">
        <v>24</v>
      </c>
      <c r="H119" s="268">
        <f>C119*D119*E119*G119</f>
        <v>322.56000000000006</v>
      </c>
      <c r="I119" s="177">
        <f t="shared" si="12"/>
        <v>198</v>
      </c>
      <c r="J119" s="197"/>
      <c r="K119" s="197"/>
      <c r="L119" s="178"/>
      <c r="M119" s="178"/>
      <c r="N119" s="178"/>
      <c r="O119" s="178"/>
      <c r="P119" s="178"/>
      <c r="Q119" s="179"/>
    </row>
    <row r="120" spans="1:17" s="50" customFormat="1" ht="25" customHeight="1">
      <c r="A120" s="269"/>
      <c r="B120" s="273"/>
      <c r="C120" s="272">
        <f>SUM(C96:C119)</f>
        <v>70</v>
      </c>
      <c r="D120" s="272">
        <f>SUM(D96:D119)</f>
        <v>26.820000000000004</v>
      </c>
      <c r="E120" s="272">
        <f>SUM(E96:E119)</f>
        <v>80</v>
      </c>
      <c r="F120" s="186"/>
      <c r="G120" s="186"/>
      <c r="H120" s="186"/>
      <c r="I120" s="172"/>
      <c r="J120" s="172"/>
      <c r="K120" s="172"/>
      <c r="L120" s="178"/>
      <c r="M120" s="178"/>
      <c r="N120" s="178"/>
      <c r="O120" s="178"/>
      <c r="P120" s="178"/>
      <c r="Q120" s="179"/>
    </row>
    <row r="121" spans="1:17" s="50" customFormat="1" ht="25" customHeight="1">
      <c r="A121" s="282" t="s">
        <v>146</v>
      </c>
      <c r="B121" s="283" t="s">
        <v>149</v>
      </c>
      <c r="C121" s="276"/>
      <c r="D121" s="276"/>
      <c r="E121" s="276"/>
      <c r="F121" s="186"/>
      <c r="G121" s="186"/>
      <c r="H121" s="186"/>
      <c r="I121" s="172"/>
      <c r="J121" s="172"/>
      <c r="K121" s="172"/>
      <c r="L121" s="178"/>
      <c r="M121" s="178"/>
      <c r="N121" s="178"/>
      <c r="O121" s="178"/>
      <c r="P121" s="178"/>
      <c r="Q121" s="179"/>
    </row>
    <row r="122" spans="1:17" s="50" customFormat="1" ht="25" customHeight="1">
      <c r="A122" s="274" t="s">
        <v>230</v>
      </c>
      <c r="B122" s="275" t="s">
        <v>152</v>
      </c>
      <c r="C122" s="276"/>
      <c r="D122" s="276"/>
      <c r="E122" s="276"/>
      <c r="F122" s="186"/>
      <c r="G122" s="186"/>
      <c r="H122" s="186"/>
      <c r="I122" s="172"/>
      <c r="J122" s="172"/>
      <c r="K122" s="172"/>
      <c r="L122" s="178"/>
      <c r="M122" s="178"/>
      <c r="N122" s="178"/>
      <c r="O122" s="178"/>
      <c r="P122" s="178"/>
      <c r="Q122" s="179"/>
    </row>
    <row r="123" spans="1:17" s="50" customFormat="1" ht="25" customHeight="1">
      <c r="A123" s="274" t="s">
        <v>231</v>
      </c>
      <c r="B123" s="275" t="s">
        <v>151</v>
      </c>
      <c r="C123" s="276"/>
      <c r="D123" s="276"/>
      <c r="E123" s="276"/>
      <c r="F123" s="186"/>
      <c r="G123" s="186"/>
      <c r="H123" s="186"/>
      <c r="I123" s="172"/>
      <c r="J123" s="172"/>
      <c r="K123" s="172"/>
      <c r="L123" s="178"/>
      <c r="M123" s="178"/>
      <c r="N123" s="178"/>
      <c r="O123" s="178"/>
      <c r="P123" s="178"/>
      <c r="Q123" s="179"/>
    </row>
    <row r="124" spans="1:17" s="50" customFormat="1" ht="25" customHeight="1">
      <c r="A124" s="274" t="s">
        <v>232</v>
      </c>
      <c r="B124" s="275" t="s">
        <v>153</v>
      </c>
      <c r="C124" s="276"/>
      <c r="D124" s="276"/>
      <c r="E124" s="276"/>
      <c r="F124" s="253">
        <f>I124</f>
        <v>0</v>
      </c>
      <c r="G124" s="186">
        <v>25</v>
      </c>
      <c r="H124" s="268">
        <f>C124*D124*E124*G124</f>
        <v>0</v>
      </c>
      <c r="I124" s="180">
        <f>2*G124*E124</f>
        <v>0</v>
      </c>
      <c r="J124" s="172"/>
      <c r="K124" s="172"/>
      <c r="L124" s="178"/>
      <c r="M124" s="178"/>
      <c r="N124" s="178"/>
      <c r="O124" s="178"/>
      <c r="P124" s="178"/>
      <c r="Q124" s="179"/>
    </row>
    <row r="125" spans="1:17" s="50" customFormat="1" ht="25" customHeight="1">
      <c r="A125" s="274" t="s">
        <v>233</v>
      </c>
      <c r="B125" s="275" t="s">
        <v>154</v>
      </c>
      <c r="C125" s="276">
        <v>4</v>
      </c>
      <c r="D125" s="276">
        <v>1.4</v>
      </c>
      <c r="E125" s="276">
        <v>6</v>
      </c>
      <c r="F125" s="186"/>
      <c r="G125" s="186"/>
      <c r="H125" s="186"/>
      <c r="I125" s="172"/>
      <c r="J125" s="172"/>
      <c r="K125" s="172"/>
      <c r="L125" s="178"/>
      <c r="M125" s="178"/>
      <c r="N125" s="178"/>
      <c r="O125" s="178"/>
      <c r="P125" s="178"/>
      <c r="Q125" s="179"/>
    </row>
    <row r="126" spans="1:17" s="50" customFormat="1" ht="25" customHeight="1">
      <c r="A126" s="274" t="s">
        <v>234</v>
      </c>
      <c r="B126" s="275" t="s">
        <v>155</v>
      </c>
      <c r="C126" s="276"/>
      <c r="D126" s="276"/>
      <c r="E126" s="276"/>
      <c r="F126" s="268">
        <f t="shared" ref="F126:K126" si="13">SUM(F96:F125)</f>
        <v>3905.8500000000008</v>
      </c>
      <c r="G126" s="172">
        <f t="shared" si="13"/>
        <v>1319</v>
      </c>
      <c r="H126" s="172">
        <f t="shared" si="13"/>
        <v>12079.56</v>
      </c>
      <c r="I126" s="172">
        <f t="shared" si="13"/>
        <v>3707.8500000000008</v>
      </c>
      <c r="J126" s="172">
        <f t="shared" si="13"/>
        <v>198</v>
      </c>
      <c r="K126" s="172">
        <f t="shared" si="13"/>
        <v>0</v>
      </c>
      <c r="L126" s="178"/>
      <c r="M126" s="178"/>
      <c r="N126" s="178"/>
      <c r="O126" s="178"/>
      <c r="P126" s="178"/>
      <c r="Q126" s="179"/>
    </row>
    <row r="127" spans="1:17" s="50" customFormat="1" ht="25" customHeight="1">
      <c r="A127" s="274"/>
      <c r="B127" s="286" t="s">
        <v>375</v>
      </c>
      <c r="C127" s="276">
        <v>4</v>
      </c>
      <c r="D127" s="276">
        <v>1.4</v>
      </c>
      <c r="E127" s="276">
        <v>6</v>
      </c>
      <c r="F127" s="268"/>
      <c r="G127" s="172"/>
      <c r="H127" s="172"/>
      <c r="I127" s="172"/>
      <c r="J127" s="172"/>
      <c r="K127" s="172"/>
      <c r="L127" s="178"/>
      <c r="M127" s="178"/>
      <c r="N127" s="178"/>
      <c r="O127" s="178"/>
      <c r="P127" s="178"/>
      <c r="Q127" s="179"/>
    </row>
    <row r="128" spans="1:17" s="50" customFormat="1" ht="25" customHeight="1">
      <c r="A128" s="277">
        <v>2</v>
      </c>
      <c r="B128" s="277" t="s">
        <v>494</v>
      </c>
      <c r="C128" s="276"/>
      <c r="D128" s="276"/>
      <c r="E128" s="276"/>
      <c r="F128" s="196"/>
      <c r="G128" s="198">
        <v>70</v>
      </c>
      <c r="H128" s="268"/>
      <c r="I128" s="268"/>
      <c r="J128" s="197">
        <v>5</v>
      </c>
      <c r="K128" s="176"/>
      <c r="L128" s="178"/>
      <c r="M128" s="178"/>
      <c r="N128" s="178"/>
      <c r="O128" s="178"/>
      <c r="P128" s="178"/>
      <c r="Q128" s="1872" t="s">
        <v>520</v>
      </c>
    </row>
    <row r="129" spans="1:17" s="50" customFormat="1" ht="25" customHeight="1">
      <c r="A129" s="278" t="s">
        <v>145</v>
      </c>
      <c r="B129" s="279" t="s">
        <v>163</v>
      </c>
      <c r="C129" s="276"/>
      <c r="D129" s="276"/>
      <c r="E129" s="276"/>
      <c r="F129" s="196"/>
      <c r="G129" s="198">
        <v>70</v>
      </c>
      <c r="H129" s="268"/>
      <c r="I129" s="268"/>
      <c r="J129" s="197">
        <v>5</v>
      </c>
      <c r="K129" s="176"/>
      <c r="L129" s="178"/>
      <c r="M129" s="178"/>
      <c r="N129" s="178"/>
      <c r="O129" s="178"/>
      <c r="P129" s="178"/>
      <c r="Q129" s="1872"/>
    </row>
    <row r="130" spans="1:17" s="50" customFormat="1" ht="25" customHeight="1">
      <c r="A130" s="275" t="s">
        <v>224</v>
      </c>
      <c r="B130" s="280" t="s">
        <v>602</v>
      </c>
      <c r="C130" s="276">
        <v>3</v>
      </c>
      <c r="D130" s="276">
        <v>1</v>
      </c>
      <c r="E130" s="276">
        <v>1</v>
      </c>
      <c r="F130" s="180"/>
      <c r="G130" s="198">
        <v>70</v>
      </c>
      <c r="H130" s="176"/>
      <c r="I130" s="176"/>
      <c r="J130" s="197">
        <v>5</v>
      </c>
      <c r="K130" s="176"/>
      <c r="L130" s="176"/>
      <c r="M130" s="178"/>
      <c r="N130" s="178"/>
      <c r="O130" s="178"/>
      <c r="P130" s="178"/>
      <c r="Q130" s="1872"/>
    </row>
    <row r="131" spans="1:17" s="50" customFormat="1" ht="25" customHeight="1">
      <c r="A131" s="275" t="s">
        <v>225</v>
      </c>
      <c r="B131" s="280" t="s">
        <v>603</v>
      </c>
      <c r="C131" s="276">
        <v>3</v>
      </c>
      <c r="D131" s="276">
        <v>1</v>
      </c>
      <c r="E131" s="276">
        <v>1</v>
      </c>
      <c r="F131" s="180"/>
      <c r="G131" s="198">
        <v>70</v>
      </c>
      <c r="H131" s="176"/>
      <c r="I131" s="176"/>
      <c r="J131" s="197">
        <v>5</v>
      </c>
      <c r="K131" s="176"/>
      <c r="L131" s="176"/>
      <c r="M131" s="178"/>
      <c r="N131" s="178"/>
      <c r="O131" s="178"/>
      <c r="P131" s="178"/>
      <c r="Q131" s="1872"/>
    </row>
    <row r="132" spans="1:17" s="50" customFormat="1" ht="25" customHeight="1">
      <c r="A132" s="275" t="s">
        <v>226</v>
      </c>
      <c r="B132" s="280" t="s">
        <v>604</v>
      </c>
      <c r="C132" s="276">
        <v>3</v>
      </c>
      <c r="D132" s="276">
        <v>1</v>
      </c>
      <c r="E132" s="276">
        <v>1</v>
      </c>
      <c r="F132" s="180"/>
      <c r="G132" s="198">
        <v>70</v>
      </c>
      <c r="H132" s="176"/>
      <c r="I132" s="176"/>
      <c r="J132" s="197">
        <v>5</v>
      </c>
      <c r="K132" s="176"/>
      <c r="L132" s="176"/>
      <c r="M132" s="178"/>
      <c r="N132" s="178"/>
      <c r="O132" s="178"/>
      <c r="P132" s="178"/>
      <c r="Q132" s="1872"/>
    </row>
    <row r="133" spans="1:17" s="50" customFormat="1" ht="25" customHeight="1">
      <c r="A133" s="275" t="s">
        <v>227</v>
      </c>
      <c r="B133" s="280" t="s">
        <v>605</v>
      </c>
      <c r="C133" s="276">
        <v>3</v>
      </c>
      <c r="D133" s="276">
        <v>1</v>
      </c>
      <c r="E133" s="276">
        <v>1</v>
      </c>
      <c r="F133" s="180"/>
      <c r="G133" s="198">
        <v>70</v>
      </c>
      <c r="H133" s="176"/>
      <c r="I133" s="176"/>
      <c r="J133" s="197">
        <v>5</v>
      </c>
      <c r="K133" s="176"/>
      <c r="L133" s="176"/>
      <c r="M133" s="178"/>
      <c r="N133" s="178"/>
      <c r="O133" s="178"/>
      <c r="P133" s="178"/>
      <c r="Q133" s="1872"/>
    </row>
    <row r="134" spans="1:17" s="50" customFormat="1" ht="25" customHeight="1">
      <c r="A134" s="275" t="s">
        <v>228</v>
      </c>
      <c r="B134" s="275" t="s">
        <v>493</v>
      </c>
      <c r="C134" s="276">
        <v>3</v>
      </c>
      <c r="D134" s="276">
        <v>1</v>
      </c>
      <c r="E134" s="276">
        <v>1</v>
      </c>
      <c r="F134" s="180"/>
      <c r="G134" s="198">
        <v>70</v>
      </c>
      <c r="H134" s="176"/>
      <c r="I134" s="176"/>
      <c r="J134" s="197">
        <v>5</v>
      </c>
      <c r="K134" s="176"/>
      <c r="L134" s="176"/>
      <c r="M134" s="178"/>
      <c r="N134" s="178"/>
      <c r="O134" s="178"/>
      <c r="P134" s="178"/>
      <c r="Q134" s="1872"/>
    </row>
    <row r="135" spans="1:17" s="50" customFormat="1" ht="25" customHeight="1">
      <c r="A135" s="275" t="s">
        <v>229</v>
      </c>
      <c r="B135" s="281" t="s">
        <v>606</v>
      </c>
      <c r="C135" s="276">
        <v>3</v>
      </c>
      <c r="D135" s="276">
        <v>1</v>
      </c>
      <c r="E135" s="276">
        <v>1</v>
      </c>
      <c r="F135" s="186"/>
      <c r="G135" s="186"/>
      <c r="H135" s="186"/>
      <c r="I135" s="172"/>
      <c r="J135" s="172"/>
      <c r="K135" s="172"/>
      <c r="L135" s="178"/>
      <c r="M135" s="178"/>
      <c r="N135" s="178"/>
      <c r="O135" s="178"/>
      <c r="P135" s="178"/>
      <c r="Q135" s="179"/>
    </row>
    <row r="136" spans="1:17" s="50" customFormat="1" ht="25" customHeight="1">
      <c r="A136" s="274" t="s">
        <v>280</v>
      </c>
      <c r="B136" s="281" t="s">
        <v>607</v>
      </c>
      <c r="C136" s="276">
        <v>3</v>
      </c>
      <c r="D136" s="276">
        <v>1</v>
      </c>
      <c r="E136" s="276">
        <v>1</v>
      </c>
      <c r="F136" s="186"/>
      <c r="G136" s="186"/>
      <c r="H136" s="186"/>
      <c r="I136" s="172"/>
      <c r="J136" s="172"/>
      <c r="K136" s="172"/>
      <c r="L136" s="178"/>
      <c r="M136" s="178"/>
      <c r="N136" s="178"/>
      <c r="O136" s="178"/>
      <c r="P136" s="178"/>
      <c r="Q136" s="179"/>
    </row>
    <row r="137" spans="1:17" s="50" customFormat="1" ht="25" customHeight="1">
      <c r="A137" s="274"/>
      <c r="B137" s="281"/>
      <c r="C137" s="276">
        <f>SUM(C130:C136)</f>
        <v>21</v>
      </c>
      <c r="D137" s="276">
        <f>SUM(D130:D136)</f>
        <v>7</v>
      </c>
      <c r="E137" s="276">
        <f>SUM(E130:E136)</f>
        <v>7</v>
      </c>
      <c r="F137" s="180">
        <f t="shared" ref="F137:F145" si="14">I137+J137+K137</f>
        <v>3638.25</v>
      </c>
      <c r="G137" s="200">
        <v>13</v>
      </c>
      <c r="H137" s="268">
        <f>C137*D137*E137*G137</f>
        <v>13377</v>
      </c>
      <c r="I137" s="177">
        <f>IF(G137&lt;70, C137*E137*16.5*1.5, C137*E137*16.5*1.5)</f>
        <v>3638.25</v>
      </c>
      <c r="J137" s="172"/>
      <c r="K137" s="172"/>
      <c r="L137" s="178"/>
      <c r="M137" s="178"/>
      <c r="N137" s="178"/>
      <c r="O137" s="178"/>
      <c r="P137" s="178"/>
      <c r="Q137" s="179"/>
    </row>
    <row r="138" spans="1:17" s="50" customFormat="1" ht="25" customHeight="1">
      <c r="A138" s="282" t="s">
        <v>146</v>
      </c>
      <c r="B138" s="283" t="s">
        <v>465</v>
      </c>
      <c r="C138" s="276"/>
      <c r="D138" s="276"/>
      <c r="E138" s="276"/>
      <c r="F138" s="180">
        <f t="shared" si="14"/>
        <v>0</v>
      </c>
      <c r="G138" s="200">
        <v>13</v>
      </c>
      <c r="H138" s="268">
        <f t="shared" ref="H138:H143" si="15">C138*D138*E138*G138</f>
        <v>0</v>
      </c>
      <c r="I138" s="177">
        <f t="shared" ref="I138:I143" si="16">IF(G138&lt;70, C138*E138*16.5*1.5, C138*E138*16.5*1.5)</f>
        <v>0</v>
      </c>
      <c r="J138" s="172"/>
      <c r="K138" s="172"/>
      <c r="L138" s="178"/>
      <c r="M138" s="178"/>
      <c r="N138" s="178"/>
      <c r="O138" s="178"/>
      <c r="P138" s="178"/>
      <c r="Q138" s="179"/>
    </row>
    <row r="139" spans="1:17" s="50" customFormat="1" ht="25" customHeight="1">
      <c r="A139" s="282"/>
      <c r="B139" s="275" t="s">
        <v>608</v>
      </c>
      <c r="C139" s="276">
        <v>15</v>
      </c>
      <c r="D139" s="276">
        <v>1</v>
      </c>
      <c r="E139" s="276">
        <v>1</v>
      </c>
      <c r="F139" s="180">
        <f t="shared" si="14"/>
        <v>371.25</v>
      </c>
      <c r="G139" s="200">
        <v>13</v>
      </c>
      <c r="H139" s="268">
        <f t="shared" si="15"/>
        <v>195</v>
      </c>
      <c r="I139" s="177">
        <f t="shared" si="16"/>
        <v>371.25</v>
      </c>
      <c r="J139" s="172"/>
      <c r="K139" s="172"/>
      <c r="L139" s="178"/>
      <c r="M139" s="178"/>
      <c r="N139" s="178"/>
      <c r="O139" s="178"/>
      <c r="P139" s="178"/>
      <c r="Q139" s="179"/>
    </row>
    <row r="140" spans="1:17" s="50" customFormat="1" ht="25" customHeight="1">
      <c r="A140" s="274"/>
      <c r="B140" s="284" t="s">
        <v>375</v>
      </c>
      <c r="C140" s="276">
        <f>SUM(C130:C139)</f>
        <v>57</v>
      </c>
      <c r="D140" s="276">
        <f>SUM(D130:D139)</f>
        <v>15</v>
      </c>
      <c r="E140" s="276">
        <f>SUM(E130:E139)</f>
        <v>15</v>
      </c>
      <c r="F140" s="180">
        <f t="shared" si="14"/>
        <v>21161.25</v>
      </c>
      <c r="G140" s="200">
        <v>13</v>
      </c>
      <c r="H140" s="268">
        <f t="shared" si="15"/>
        <v>166725</v>
      </c>
      <c r="I140" s="177">
        <f t="shared" si="16"/>
        <v>21161.25</v>
      </c>
      <c r="J140" s="172"/>
      <c r="K140" s="172"/>
      <c r="L140" s="178"/>
      <c r="M140" s="178"/>
      <c r="N140" s="178"/>
      <c r="O140" s="178"/>
      <c r="P140" s="178"/>
      <c r="Q140" s="179"/>
    </row>
    <row r="141" spans="1:17" s="50" customFormat="1" ht="25" customHeight="1">
      <c r="A141" s="277">
        <v>1</v>
      </c>
      <c r="B141" s="279" t="s">
        <v>223</v>
      </c>
      <c r="C141" s="276"/>
      <c r="D141" s="276"/>
      <c r="E141" s="276"/>
      <c r="F141" s="180">
        <f t="shared" si="14"/>
        <v>0</v>
      </c>
      <c r="G141" s="200">
        <v>13</v>
      </c>
      <c r="H141" s="268">
        <f>C141*D141*E141*G141</f>
        <v>0</v>
      </c>
      <c r="I141" s="177">
        <f t="shared" si="16"/>
        <v>0</v>
      </c>
      <c r="J141" s="172"/>
      <c r="K141" s="172"/>
      <c r="L141" s="178"/>
      <c r="M141" s="178"/>
      <c r="N141" s="178"/>
      <c r="O141" s="178"/>
      <c r="P141" s="178"/>
      <c r="Q141" s="179"/>
    </row>
    <row r="142" spans="1:17" s="50" customFormat="1" ht="25" customHeight="1">
      <c r="A142" s="277" t="s">
        <v>376</v>
      </c>
      <c r="B142" s="279" t="s">
        <v>161</v>
      </c>
      <c r="C142" s="276"/>
      <c r="D142" s="276"/>
      <c r="E142" s="276"/>
      <c r="F142" s="180">
        <f t="shared" si="14"/>
        <v>0</v>
      </c>
      <c r="G142" s="200">
        <v>13</v>
      </c>
      <c r="H142" s="268">
        <f t="shared" si="15"/>
        <v>0</v>
      </c>
      <c r="I142" s="177">
        <f t="shared" si="16"/>
        <v>0</v>
      </c>
      <c r="J142" s="172"/>
      <c r="K142" s="172"/>
      <c r="L142" s="178"/>
      <c r="M142" s="178"/>
      <c r="N142" s="178"/>
      <c r="O142" s="178"/>
      <c r="P142" s="178"/>
      <c r="Q142" s="179"/>
    </row>
    <row r="143" spans="1:17" s="50" customFormat="1" ht="25" customHeight="1">
      <c r="A143" s="274" t="s">
        <v>226</v>
      </c>
      <c r="B143" s="285" t="s">
        <v>609</v>
      </c>
      <c r="C143" s="276">
        <v>3</v>
      </c>
      <c r="D143" s="276">
        <v>1</v>
      </c>
      <c r="E143" s="276">
        <v>7</v>
      </c>
      <c r="F143" s="180">
        <f t="shared" si="14"/>
        <v>519.75</v>
      </c>
      <c r="G143" s="200">
        <v>13</v>
      </c>
      <c r="H143" s="268">
        <f t="shared" si="15"/>
        <v>273</v>
      </c>
      <c r="I143" s="177">
        <f t="shared" si="16"/>
        <v>519.75</v>
      </c>
      <c r="J143" s="172"/>
      <c r="K143" s="172"/>
      <c r="L143" s="178"/>
      <c r="M143" s="178"/>
      <c r="N143" s="178"/>
      <c r="O143" s="178"/>
      <c r="P143" s="178"/>
      <c r="Q143" s="179"/>
    </row>
    <row r="144" spans="1:17" s="50" customFormat="1" ht="25" customHeight="1">
      <c r="A144" s="274" t="s">
        <v>227</v>
      </c>
      <c r="B144" s="285" t="s">
        <v>610</v>
      </c>
      <c r="C144" s="276">
        <v>3</v>
      </c>
      <c r="D144" s="276">
        <v>1</v>
      </c>
      <c r="E144" s="276">
        <v>7</v>
      </c>
      <c r="F144" s="186"/>
      <c r="G144" s="186"/>
      <c r="H144" s="186"/>
      <c r="I144" s="203"/>
      <c r="J144" s="203"/>
      <c r="K144" s="172"/>
      <c r="L144" s="178"/>
      <c r="M144" s="178"/>
      <c r="N144" s="178"/>
      <c r="O144" s="178"/>
      <c r="P144" s="178"/>
      <c r="Q144" s="179"/>
    </row>
    <row r="145" spans="1:17" s="50" customFormat="1" ht="25" customHeight="1">
      <c r="A145" s="274" t="s">
        <v>228</v>
      </c>
      <c r="B145" s="285" t="s">
        <v>611</v>
      </c>
      <c r="C145" s="276">
        <v>2</v>
      </c>
      <c r="D145" s="276">
        <v>1</v>
      </c>
      <c r="E145" s="276">
        <v>10</v>
      </c>
      <c r="F145" s="180">
        <f t="shared" si="14"/>
        <v>14700</v>
      </c>
      <c r="G145" s="186">
        <v>42</v>
      </c>
      <c r="H145" s="268">
        <f>C145*D145*E145*G145</f>
        <v>840</v>
      </c>
      <c r="I145" s="177">
        <f>E145*G145*35</f>
        <v>14700</v>
      </c>
      <c r="J145" s="203"/>
      <c r="K145" s="172"/>
      <c r="L145" s="178"/>
      <c r="M145" s="178"/>
      <c r="N145" s="178"/>
      <c r="O145" s="178"/>
      <c r="P145" s="178"/>
      <c r="Q145" s="179"/>
    </row>
    <row r="146" spans="1:17" s="50" customFormat="1" ht="25" customHeight="1">
      <c r="A146" s="274" t="s">
        <v>229</v>
      </c>
      <c r="B146" s="285" t="s">
        <v>612</v>
      </c>
      <c r="C146" s="276">
        <v>3</v>
      </c>
      <c r="D146" s="276">
        <v>1</v>
      </c>
      <c r="E146" s="276">
        <v>16</v>
      </c>
      <c r="F146" s="186">
        <f>SUM(F137:F145)</f>
        <v>40390.5</v>
      </c>
      <c r="G146" s="204">
        <f>SUM(G137:G145)</f>
        <v>133</v>
      </c>
      <c r="H146" s="204">
        <f>SUM(H137:H145)</f>
        <v>181410</v>
      </c>
      <c r="I146" s="204">
        <f>SUM(I137:I145)</f>
        <v>40390.5</v>
      </c>
      <c r="J146" s="172">
        <v>0</v>
      </c>
      <c r="K146" s="172">
        <v>0</v>
      </c>
      <c r="L146" s="178"/>
      <c r="M146" s="178"/>
      <c r="N146" s="178"/>
      <c r="O146" s="178"/>
      <c r="P146" s="178"/>
      <c r="Q146" s="179"/>
    </row>
    <row r="147" spans="1:17" s="50" customFormat="1" ht="25" customHeight="1">
      <c r="A147" s="274" t="s">
        <v>280</v>
      </c>
      <c r="B147" s="285" t="s">
        <v>613</v>
      </c>
      <c r="C147" s="276">
        <v>2</v>
      </c>
      <c r="D147" s="276">
        <v>1</v>
      </c>
      <c r="E147" s="276">
        <v>10</v>
      </c>
      <c r="F147" s="186"/>
      <c r="G147" s="186"/>
      <c r="H147" s="186"/>
      <c r="I147" s="203"/>
      <c r="J147" s="178"/>
      <c r="K147" s="178"/>
      <c r="L147" s="178"/>
      <c r="M147" s="178"/>
      <c r="N147" s="178"/>
      <c r="O147" s="178"/>
      <c r="P147" s="178"/>
      <c r="Q147" s="179"/>
    </row>
    <row r="148" spans="1:17" s="50" customFormat="1" ht="25" customHeight="1">
      <c r="A148" s="274" t="s">
        <v>282</v>
      </c>
      <c r="B148" s="281" t="s">
        <v>614</v>
      </c>
      <c r="C148" s="276">
        <v>3</v>
      </c>
      <c r="D148" s="276">
        <v>1</v>
      </c>
      <c r="E148" s="276">
        <v>10</v>
      </c>
      <c r="F148" s="186"/>
      <c r="G148" s="186"/>
      <c r="H148" s="186"/>
      <c r="I148" s="203"/>
      <c r="J148" s="178"/>
      <c r="K148" s="178"/>
      <c r="L148" s="178"/>
      <c r="M148" s="178"/>
      <c r="N148" s="178"/>
      <c r="O148" s="178"/>
      <c r="P148" s="178"/>
      <c r="Q148" s="179"/>
    </row>
    <row r="149" spans="1:17" s="50" customFormat="1" ht="25" customHeight="1">
      <c r="A149" s="274" t="s">
        <v>284</v>
      </c>
      <c r="B149" s="275" t="s">
        <v>615</v>
      </c>
      <c r="C149" s="276">
        <v>3</v>
      </c>
      <c r="D149" s="276">
        <v>1</v>
      </c>
      <c r="E149" s="276">
        <v>10</v>
      </c>
      <c r="F149" s="180">
        <f t="shared" ref="F149:F163" si="17">I149+J149+K149</f>
        <v>643.5</v>
      </c>
      <c r="G149" s="200">
        <v>70</v>
      </c>
      <c r="H149" s="268">
        <f t="shared" ref="H149:H163" si="18">C149*D149*E149*G149</f>
        <v>2100</v>
      </c>
      <c r="I149" s="177">
        <f>IF(G149&lt;70, C149*E149*16.5*1, C149*E149*16.5*1.3)</f>
        <v>643.5</v>
      </c>
      <c r="J149" s="178"/>
      <c r="K149" s="178"/>
      <c r="L149" s="178"/>
      <c r="M149" s="178"/>
      <c r="N149" s="178"/>
      <c r="O149" s="178"/>
      <c r="P149" s="178"/>
      <c r="Q149" s="179"/>
    </row>
    <row r="150" spans="1:17" s="50" customFormat="1" ht="25" customHeight="1">
      <c r="A150" s="274" t="s">
        <v>287</v>
      </c>
      <c r="B150" s="275" t="s">
        <v>383</v>
      </c>
      <c r="C150" s="276">
        <v>3</v>
      </c>
      <c r="D150" s="276">
        <v>1</v>
      </c>
      <c r="E150" s="276">
        <v>16</v>
      </c>
      <c r="F150" s="180">
        <f t="shared" si="17"/>
        <v>1029.6000000000001</v>
      </c>
      <c r="G150" s="200">
        <v>70</v>
      </c>
      <c r="H150" s="268">
        <f t="shared" si="18"/>
        <v>3360</v>
      </c>
      <c r="I150" s="177">
        <f t="shared" ref="I150:I163" si="19">IF(G150&lt;70, C150*E150*16.5*1, C150*E150*16.5*1.3)</f>
        <v>1029.6000000000001</v>
      </c>
      <c r="J150" s="178"/>
      <c r="K150" s="178"/>
      <c r="L150" s="178"/>
      <c r="M150" s="178"/>
      <c r="N150" s="178"/>
      <c r="O150" s="178"/>
      <c r="P150" s="178"/>
      <c r="Q150" s="179"/>
    </row>
    <row r="151" spans="1:17" s="50" customFormat="1" ht="25" customHeight="1">
      <c r="A151" s="274" t="s">
        <v>288</v>
      </c>
      <c r="B151" s="275" t="s">
        <v>616</v>
      </c>
      <c r="C151" s="276">
        <v>4</v>
      </c>
      <c r="D151" s="276">
        <v>1</v>
      </c>
      <c r="E151" s="276">
        <v>10</v>
      </c>
      <c r="F151" s="180">
        <f t="shared" si="17"/>
        <v>858</v>
      </c>
      <c r="G151" s="200">
        <v>70</v>
      </c>
      <c r="H151" s="268">
        <f t="shared" si="18"/>
        <v>2800</v>
      </c>
      <c r="I151" s="177">
        <f t="shared" si="19"/>
        <v>858</v>
      </c>
      <c r="J151" s="178"/>
      <c r="K151" s="178"/>
      <c r="L151" s="178"/>
      <c r="M151" s="178"/>
      <c r="N151" s="178"/>
      <c r="O151" s="178"/>
      <c r="P151" s="178"/>
      <c r="Q151" s="179"/>
    </row>
    <row r="152" spans="1:17" s="50" customFormat="1" ht="25" customHeight="1">
      <c r="A152" s="274" t="s">
        <v>289</v>
      </c>
      <c r="B152" s="275" t="s">
        <v>617</v>
      </c>
      <c r="C152" s="276">
        <v>4</v>
      </c>
      <c r="D152" s="276">
        <v>1</v>
      </c>
      <c r="E152" s="276">
        <v>8</v>
      </c>
      <c r="F152" s="180">
        <f t="shared" si="17"/>
        <v>686.4</v>
      </c>
      <c r="G152" s="200">
        <v>70</v>
      </c>
      <c r="H152" s="268">
        <f t="shared" si="18"/>
        <v>2240</v>
      </c>
      <c r="I152" s="177">
        <f t="shared" si="19"/>
        <v>686.4</v>
      </c>
      <c r="J152" s="178"/>
      <c r="K152" s="178"/>
      <c r="L152" s="178"/>
      <c r="M152" s="178"/>
      <c r="N152" s="178"/>
      <c r="O152" s="178"/>
      <c r="P152" s="178"/>
      <c r="Q152" s="179"/>
    </row>
    <row r="153" spans="1:17" s="50" customFormat="1" ht="25" customHeight="1">
      <c r="A153" s="274" t="s">
        <v>290</v>
      </c>
      <c r="B153" s="275" t="s">
        <v>618</v>
      </c>
      <c r="C153" s="276">
        <v>4</v>
      </c>
      <c r="D153" s="276">
        <v>1</v>
      </c>
      <c r="E153" s="276">
        <v>8</v>
      </c>
      <c r="F153" s="180">
        <f t="shared" si="17"/>
        <v>686.4</v>
      </c>
      <c r="G153" s="200">
        <v>70</v>
      </c>
      <c r="H153" s="268">
        <f t="shared" si="18"/>
        <v>2240</v>
      </c>
      <c r="I153" s="177">
        <f t="shared" si="19"/>
        <v>686.4</v>
      </c>
      <c r="J153" s="197"/>
      <c r="K153" s="197"/>
      <c r="L153" s="197"/>
      <c r="M153" s="197"/>
      <c r="N153" s="197"/>
      <c r="O153" s="197"/>
      <c r="P153" s="197"/>
      <c r="Q153" s="180"/>
    </row>
    <row r="154" spans="1:17" s="50" customFormat="1" ht="25" customHeight="1">
      <c r="A154" s="202" t="s">
        <v>229</v>
      </c>
      <c r="B154" s="205" t="s">
        <v>377</v>
      </c>
      <c r="C154" s="200">
        <v>4</v>
      </c>
      <c r="D154" s="200">
        <v>1</v>
      </c>
      <c r="E154" s="200">
        <v>16</v>
      </c>
      <c r="F154" s="180">
        <f t="shared" si="17"/>
        <v>1372.8</v>
      </c>
      <c r="G154" s="200">
        <v>70</v>
      </c>
      <c r="H154" s="268">
        <f t="shared" si="18"/>
        <v>4480</v>
      </c>
      <c r="I154" s="177">
        <f t="shared" si="19"/>
        <v>1372.8</v>
      </c>
      <c r="J154" s="197"/>
      <c r="K154" s="197"/>
      <c r="L154" s="197"/>
      <c r="M154" s="197"/>
      <c r="N154" s="197"/>
      <c r="O154" s="197"/>
      <c r="P154" s="197"/>
      <c r="Q154" s="180"/>
    </row>
    <row r="155" spans="1:17" s="50" customFormat="1" ht="25" customHeight="1">
      <c r="A155" s="202" t="s">
        <v>280</v>
      </c>
      <c r="B155" s="205" t="s">
        <v>378</v>
      </c>
      <c r="C155" s="200">
        <v>2</v>
      </c>
      <c r="D155" s="200">
        <v>1</v>
      </c>
      <c r="E155" s="200">
        <v>16</v>
      </c>
      <c r="F155" s="180">
        <f t="shared" si="17"/>
        <v>686.4</v>
      </c>
      <c r="G155" s="200">
        <v>80</v>
      </c>
      <c r="H155" s="268">
        <f t="shared" si="18"/>
        <v>2560</v>
      </c>
      <c r="I155" s="177">
        <f t="shared" si="19"/>
        <v>686.4</v>
      </c>
      <c r="J155" s="197"/>
      <c r="K155" s="197"/>
      <c r="L155" s="197"/>
      <c r="M155" s="197"/>
      <c r="N155" s="197"/>
      <c r="O155" s="197"/>
      <c r="P155" s="197"/>
      <c r="Q155" s="180"/>
    </row>
    <row r="156" spans="1:17" s="50" customFormat="1" ht="25" customHeight="1">
      <c r="A156" s="202" t="s">
        <v>281</v>
      </c>
      <c r="B156" s="205" t="s">
        <v>379</v>
      </c>
      <c r="C156" s="200">
        <v>4</v>
      </c>
      <c r="D156" s="200">
        <v>1</v>
      </c>
      <c r="E156" s="200">
        <v>16</v>
      </c>
      <c r="F156" s="180">
        <f t="shared" si="17"/>
        <v>1372.8</v>
      </c>
      <c r="G156" s="200">
        <v>70</v>
      </c>
      <c r="H156" s="268">
        <f t="shared" si="18"/>
        <v>4480</v>
      </c>
      <c r="I156" s="177">
        <f t="shared" si="19"/>
        <v>1372.8</v>
      </c>
      <c r="J156" s="197"/>
      <c r="K156" s="197"/>
      <c r="L156" s="197"/>
      <c r="M156" s="197"/>
      <c r="N156" s="197"/>
      <c r="O156" s="197"/>
      <c r="P156" s="197"/>
      <c r="Q156" s="180"/>
    </row>
    <row r="157" spans="1:17" s="50" customFormat="1" ht="25" customHeight="1">
      <c r="A157" s="202" t="s">
        <v>282</v>
      </c>
      <c r="B157" s="201" t="s">
        <v>380</v>
      </c>
      <c r="C157" s="200">
        <v>3</v>
      </c>
      <c r="D157" s="200">
        <v>1</v>
      </c>
      <c r="E157" s="200">
        <v>16</v>
      </c>
      <c r="F157" s="180">
        <f t="shared" si="17"/>
        <v>1029.6000000000001</v>
      </c>
      <c r="G157" s="200">
        <v>70</v>
      </c>
      <c r="H157" s="268">
        <f t="shared" si="18"/>
        <v>3360</v>
      </c>
      <c r="I157" s="177">
        <f t="shared" si="19"/>
        <v>1029.6000000000001</v>
      </c>
      <c r="J157" s="197"/>
      <c r="K157" s="197"/>
      <c r="L157" s="197"/>
      <c r="M157" s="197"/>
      <c r="N157" s="197"/>
      <c r="O157" s="197"/>
      <c r="P157" s="197"/>
      <c r="Q157" s="180"/>
    </row>
    <row r="158" spans="1:17" s="50" customFormat="1" ht="25" customHeight="1">
      <c r="A158" s="202" t="s">
        <v>283</v>
      </c>
      <c r="B158" s="201" t="s">
        <v>381</v>
      </c>
      <c r="C158" s="200">
        <v>3</v>
      </c>
      <c r="D158" s="200">
        <v>1</v>
      </c>
      <c r="E158" s="200">
        <v>16</v>
      </c>
      <c r="F158" s="180">
        <f t="shared" si="17"/>
        <v>1029.6000000000001</v>
      </c>
      <c r="G158" s="200">
        <v>70</v>
      </c>
      <c r="H158" s="268">
        <f t="shared" si="18"/>
        <v>3360</v>
      </c>
      <c r="I158" s="177">
        <f t="shared" si="19"/>
        <v>1029.6000000000001</v>
      </c>
      <c r="J158" s="197"/>
      <c r="K158" s="197"/>
      <c r="L158" s="197"/>
      <c r="M158" s="197"/>
      <c r="N158" s="197"/>
      <c r="O158" s="197"/>
      <c r="P158" s="197"/>
      <c r="Q158" s="180"/>
    </row>
    <row r="159" spans="1:17" s="50" customFormat="1" ht="25" customHeight="1">
      <c r="A159" s="202" t="s">
        <v>284</v>
      </c>
      <c r="B159" s="199" t="s">
        <v>382</v>
      </c>
      <c r="C159" s="200">
        <v>3</v>
      </c>
      <c r="D159" s="200">
        <v>1</v>
      </c>
      <c r="E159" s="200">
        <v>16</v>
      </c>
      <c r="F159" s="180">
        <f t="shared" si="17"/>
        <v>1029.6000000000001</v>
      </c>
      <c r="G159" s="200">
        <v>70</v>
      </c>
      <c r="H159" s="268">
        <f t="shared" si="18"/>
        <v>3360</v>
      </c>
      <c r="I159" s="177">
        <f t="shared" si="19"/>
        <v>1029.6000000000001</v>
      </c>
      <c r="J159" s="197"/>
      <c r="K159" s="197"/>
      <c r="L159" s="197"/>
      <c r="M159" s="197"/>
      <c r="N159" s="197"/>
      <c r="O159" s="197"/>
      <c r="P159" s="197"/>
      <c r="Q159" s="180"/>
    </row>
    <row r="160" spans="1:17" s="50" customFormat="1" ht="25" customHeight="1">
      <c r="A160" s="202" t="s">
        <v>287</v>
      </c>
      <c r="B160" s="199" t="s">
        <v>383</v>
      </c>
      <c r="C160" s="200">
        <v>3</v>
      </c>
      <c r="D160" s="200">
        <v>1</v>
      </c>
      <c r="E160" s="200">
        <v>16</v>
      </c>
      <c r="F160" s="180">
        <f t="shared" si="17"/>
        <v>1029.6000000000001</v>
      </c>
      <c r="G160" s="200">
        <v>70</v>
      </c>
      <c r="H160" s="268">
        <f t="shared" si="18"/>
        <v>3360</v>
      </c>
      <c r="I160" s="177">
        <f t="shared" si="19"/>
        <v>1029.6000000000001</v>
      </c>
      <c r="J160" s="197"/>
      <c r="K160" s="197"/>
      <c r="L160" s="197"/>
      <c r="M160" s="197"/>
      <c r="N160" s="197"/>
      <c r="O160" s="197"/>
      <c r="P160" s="197"/>
      <c r="Q160" s="180"/>
    </row>
    <row r="161" spans="1:17" s="50" customFormat="1" ht="25" customHeight="1">
      <c r="A161" s="202" t="s">
        <v>288</v>
      </c>
      <c r="B161" s="199" t="s">
        <v>384</v>
      </c>
      <c r="C161" s="200">
        <v>4</v>
      </c>
      <c r="D161" s="200">
        <v>1</v>
      </c>
      <c r="E161" s="200">
        <v>10</v>
      </c>
      <c r="F161" s="180">
        <f t="shared" si="17"/>
        <v>858</v>
      </c>
      <c r="G161" s="200">
        <v>70</v>
      </c>
      <c r="H161" s="268">
        <f t="shared" si="18"/>
        <v>2800</v>
      </c>
      <c r="I161" s="177">
        <f t="shared" si="19"/>
        <v>858</v>
      </c>
      <c r="J161" s="197"/>
      <c r="K161" s="197"/>
      <c r="L161" s="197"/>
      <c r="M161" s="197"/>
      <c r="N161" s="197"/>
      <c r="O161" s="197"/>
      <c r="P161" s="197"/>
      <c r="Q161" s="180"/>
    </row>
    <row r="162" spans="1:17" s="50" customFormat="1" ht="25" customHeight="1">
      <c r="A162" s="202" t="s">
        <v>289</v>
      </c>
      <c r="B162" s="199" t="s">
        <v>385</v>
      </c>
      <c r="C162" s="200">
        <v>4</v>
      </c>
      <c r="D162" s="200">
        <v>1</v>
      </c>
      <c r="E162" s="200">
        <v>13</v>
      </c>
      <c r="F162" s="180">
        <f t="shared" si="17"/>
        <v>1115.4000000000001</v>
      </c>
      <c r="G162" s="200">
        <v>70</v>
      </c>
      <c r="H162" s="268">
        <f t="shared" si="18"/>
        <v>3640</v>
      </c>
      <c r="I162" s="177">
        <f t="shared" si="19"/>
        <v>1115.4000000000001</v>
      </c>
      <c r="J162" s="197"/>
      <c r="K162" s="197"/>
      <c r="L162" s="197"/>
      <c r="M162" s="197"/>
      <c r="N162" s="197"/>
      <c r="O162" s="197"/>
      <c r="P162" s="197"/>
      <c r="Q162" s="180"/>
    </row>
    <row r="163" spans="1:17" s="50" customFormat="1" ht="25" customHeight="1">
      <c r="A163" s="202" t="s">
        <v>290</v>
      </c>
      <c r="B163" s="199" t="s">
        <v>386</v>
      </c>
      <c r="C163" s="200">
        <v>4</v>
      </c>
      <c r="D163" s="200">
        <v>1</v>
      </c>
      <c r="E163" s="200">
        <v>16</v>
      </c>
      <c r="F163" s="180">
        <f t="shared" si="17"/>
        <v>1372.8</v>
      </c>
      <c r="G163" s="200">
        <v>70</v>
      </c>
      <c r="H163" s="268">
        <f t="shared" si="18"/>
        <v>4480</v>
      </c>
      <c r="I163" s="177">
        <f t="shared" si="19"/>
        <v>1372.8</v>
      </c>
      <c r="J163" s="197"/>
      <c r="K163" s="197"/>
      <c r="L163" s="197"/>
      <c r="M163" s="197"/>
      <c r="N163" s="197"/>
      <c r="O163" s="197"/>
      <c r="P163" s="197"/>
      <c r="Q163" s="180"/>
    </row>
    <row r="164" spans="1:17" s="50" customFormat="1" ht="25" customHeight="1">
      <c r="A164" s="202"/>
      <c r="B164" s="206" t="s">
        <v>387</v>
      </c>
      <c r="C164" s="207">
        <f>SUM(C149:C163)</f>
        <v>52</v>
      </c>
      <c r="D164" s="207">
        <f t="shared" ref="D164:K164" si="20">SUM(D149:D163)</f>
        <v>15</v>
      </c>
      <c r="E164" s="207">
        <f t="shared" si="20"/>
        <v>203</v>
      </c>
      <c r="F164" s="200">
        <f t="shared" si="20"/>
        <v>14800.5</v>
      </c>
      <c r="G164" s="207">
        <f t="shared" si="20"/>
        <v>1060</v>
      </c>
      <c r="H164" s="207">
        <f t="shared" si="20"/>
        <v>48620</v>
      </c>
      <c r="I164" s="207">
        <f t="shared" si="20"/>
        <v>14800.5</v>
      </c>
      <c r="J164" s="207">
        <f t="shared" si="20"/>
        <v>0</v>
      </c>
      <c r="K164" s="207">
        <f t="shared" si="20"/>
        <v>0</v>
      </c>
      <c r="L164" s="197"/>
      <c r="M164" s="197"/>
      <c r="N164" s="197"/>
      <c r="O164" s="197"/>
      <c r="P164" s="197"/>
      <c r="Q164" s="180"/>
    </row>
    <row r="165" spans="1:17" s="50" customFormat="1" ht="25" customHeight="1">
      <c r="A165" s="208"/>
      <c r="B165" s="209" t="s">
        <v>388</v>
      </c>
      <c r="C165" s="210">
        <f t="shared" ref="C165:K165" si="21">C126+C164+C146</f>
        <v>55</v>
      </c>
      <c r="D165" s="210">
        <f t="shared" si="21"/>
        <v>16</v>
      </c>
      <c r="E165" s="210">
        <f t="shared" si="21"/>
        <v>219</v>
      </c>
      <c r="F165" s="246">
        <f t="shared" si="21"/>
        <v>59096.850000000006</v>
      </c>
      <c r="G165" s="210">
        <f t="shared" si="21"/>
        <v>2512</v>
      </c>
      <c r="H165" s="210">
        <f t="shared" si="21"/>
        <v>242109.56</v>
      </c>
      <c r="I165" s="210">
        <f t="shared" si="21"/>
        <v>58898.850000000006</v>
      </c>
      <c r="J165" s="210">
        <f t="shared" si="21"/>
        <v>198</v>
      </c>
      <c r="K165" s="210">
        <f t="shared" si="21"/>
        <v>0</v>
      </c>
      <c r="L165" s="191">
        <f>'Bieu3 GDMN'!F25</f>
        <v>2700</v>
      </c>
      <c r="M165" s="191">
        <f>'Bieu3 GDMN'!N25</f>
        <v>2376</v>
      </c>
      <c r="N165" s="190">
        <f>I165-M165</f>
        <v>56522.850000000006</v>
      </c>
      <c r="O165" s="191">
        <f>'Bieu3 GDMN'!O25</f>
        <v>1709.75</v>
      </c>
      <c r="P165" s="191">
        <f>'Bieu3 GDMN'!P25</f>
        <v>960</v>
      </c>
      <c r="Q165" s="192"/>
    </row>
    <row r="166" spans="1:17" s="50" customFormat="1" ht="25" customHeight="1">
      <c r="A166" s="211"/>
      <c r="B166" s="212"/>
      <c r="C166" s="213"/>
      <c r="D166" s="213"/>
      <c r="E166" s="213"/>
      <c r="F166" s="213"/>
      <c r="G166" s="213"/>
      <c r="H166" s="213"/>
      <c r="I166" s="214"/>
      <c r="J166" s="178"/>
      <c r="K166" s="178"/>
      <c r="L166" s="178"/>
      <c r="M166" s="178"/>
      <c r="N166" s="178"/>
      <c r="O166" s="178"/>
      <c r="P166" s="178"/>
      <c r="Q166" s="179"/>
    </row>
    <row r="167" spans="1:17" s="50" customFormat="1" ht="25" customHeight="1">
      <c r="A167" s="215" t="s">
        <v>417</v>
      </c>
      <c r="B167" s="215" t="s">
        <v>418</v>
      </c>
      <c r="C167" s="216"/>
      <c r="D167" s="216"/>
      <c r="E167" s="216"/>
      <c r="F167" s="247"/>
      <c r="G167" s="216"/>
      <c r="H167" s="213"/>
      <c r="I167" s="214"/>
      <c r="J167" s="178"/>
      <c r="K167" s="178"/>
      <c r="L167" s="178"/>
      <c r="M167" s="178"/>
      <c r="N167" s="178"/>
      <c r="O167" s="178"/>
      <c r="P167" s="178"/>
      <c r="Q167" s="179"/>
    </row>
    <row r="168" spans="1:17" s="50" customFormat="1" ht="25" customHeight="1">
      <c r="A168" s="217" t="s">
        <v>6</v>
      </c>
      <c r="B168" s="217" t="s">
        <v>221</v>
      </c>
      <c r="C168" s="216"/>
      <c r="D168" s="216"/>
      <c r="E168" s="216"/>
      <c r="F168" s="247"/>
      <c r="G168" s="216"/>
      <c r="H168" s="213"/>
      <c r="I168" s="214"/>
      <c r="J168" s="178"/>
      <c r="K168" s="178"/>
      <c r="L168" s="178"/>
      <c r="M168" s="178"/>
      <c r="N168" s="178"/>
      <c r="O168" s="178"/>
      <c r="P168" s="178"/>
      <c r="Q168" s="179"/>
    </row>
    <row r="169" spans="1:17" s="50" customFormat="1" ht="25" customHeight="1">
      <c r="A169" s="217">
        <v>1</v>
      </c>
      <c r="B169" s="217" t="s">
        <v>4</v>
      </c>
      <c r="C169" s="216"/>
      <c r="D169" s="216"/>
      <c r="E169" s="216"/>
      <c r="F169" s="247"/>
      <c r="G169" s="216"/>
      <c r="H169" s="213"/>
      <c r="I169" s="214"/>
      <c r="J169" s="178"/>
      <c r="K169" s="178"/>
      <c r="L169" s="178"/>
      <c r="M169" s="178"/>
      <c r="N169" s="178"/>
      <c r="O169" s="178"/>
      <c r="P169" s="178"/>
      <c r="Q169" s="179"/>
    </row>
    <row r="170" spans="1:17" s="50" customFormat="1" ht="25" customHeight="1">
      <c r="A170" s="218" t="s">
        <v>145</v>
      </c>
      <c r="B170" s="219" t="s">
        <v>159</v>
      </c>
      <c r="C170" s="220"/>
      <c r="D170" s="220"/>
      <c r="E170" s="220"/>
      <c r="F170" s="224"/>
      <c r="G170" s="220"/>
      <c r="H170" s="213"/>
      <c r="I170" s="214"/>
      <c r="J170" s="178"/>
      <c r="K170" s="178"/>
      <c r="L170" s="178"/>
      <c r="M170" s="178"/>
      <c r="N170" s="178"/>
      <c r="O170" s="178"/>
      <c r="P170" s="178"/>
      <c r="Q170" s="179"/>
    </row>
    <row r="171" spans="1:17" s="50" customFormat="1" ht="25" customHeight="1">
      <c r="A171" s="269" t="s">
        <v>224</v>
      </c>
      <c r="B171" s="270" t="s">
        <v>664</v>
      </c>
      <c r="C171" s="355">
        <v>4</v>
      </c>
      <c r="D171" s="297">
        <v>1</v>
      </c>
      <c r="E171" s="355">
        <v>13</v>
      </c>
      <c r="F171" s="180">
        <f t="shared" ref="F171:F184" si="22">I171+J171+K171</f>
        <v>858</v>
      </c>
      <c r="G171" s="221">
        <v>50</v>
      </c>
      <c r="H171" s="268">
        <f>C171*D171*E171*G171</f>
        <v>2600</v>
      </c>
      <c r="I171" s="177">
        <f>IF(G171&lt;70, C171*E171*16.5*1, C171*E171*16.5*1.3)</f>
        <v>858</v>
      </c>
      <c r="J171" s="178"/>
      <c r="K171" s="178"/>
      <c r="L171" s="178"/>
      <c r="M171" s="178"/>
      <c r="N171" s="178"/>
      <c r="O171" s="178"/>
      <c r="P171" s="178"/>
      <c r="Q171" s="179"/>
    </row>
    <row r="172" spans="1:17" s="50" customFormat="1" ht="25" customHeight="1">
      <c r="A172" s="269" t="s">
        <v>225</v>
      </c>
      <c r="B172" s="270" t="s">
        <v>665</v>
      </c>
      <c r="C172" s="296">
        <v>3</v>
      </c>
      <c r="D172" s="356">
        <v>1</v>
      </c>
      <c r="E172" s="296">
        <v>7</v>
      </c>
      <c r="F172" s="180">
        <f t="shared" si="22"/>
        <v>450.45</v>
      </c>
      <c r="G172" s="222">
        <v>70</v>
      </c>
      <c r="H172" s="268">
        <f t="shared" ref="H172:H184" si="23">C172*D172*E172*G172</f>
        <v>1470</v>
      </c>
      <c r="I172" s="177">
        <f t="shared" ref="I172:I182" si="24">IF(G172&lt;70, C172*E172*16.5*1, C172*E172*16.5*1.3)</f>
        <v>450.45</v>
      </c>
      <c r="J172" s="178"/>
      <c r="K172" s="178"/>
      <c r="L172" s="178"/>
      <c r="M172" s="178"/>
      <c r="N172" s="178"/>
      <c r="O172" s="178"/>
      <c r="P172" s="178"/>
      <c r="Q172" s="179"/>
    </row>
    <row r="173" spans="1:17" s="50" customFormat="1" ht="25" customHeight="1">
      <c r="A173" s="269" t="s">
        <v>227</v>
      </c>
      <c r="B173" s="270" t="s">
        <v>666</v>
      </c>
      <c r="C173" s="296">
        <v>5</v>
      </c>
      <c r="D173" s="356">
        <v>1</v>
      </c>
      <c r="E173" s="296">
        <v>6</v>
      </c>
      <c r="F173" s="180">
        <f t="shared" si="22"/>
        <v>643.5</v>
      </c>
      <c r="G173" s="222">
        <v>70</v>
      </c>
      <c r="H173" s="268">
        <f t="shared" si="23"/>
        <v>2100</v>
      </c>
      <c r="I173" s="177">
        <f t="shared" si="24"/>
        <v>643.5</v>
      </c>
      <c r="J173" s="178"/>
      <c r="K173" s="178"/>
      <c r="L173" s="178"/>
      <c r="M173" s="178"/>
      <c r="N173" s="178"/>
      <c r="O173" s="178"/>
      <c r="P173" s="178"/>
      <c r="Q173" s="179"/>
    </row>
    <row r="174" spans="1:17" s="50" customFormat="1" ht="25" customHeight="1">
      <c r="A174" s="269" t="s">
        <v>228</v>
      </c>
      <c r="B174" s="270" t="s">
        <v>667</v>
      </c>
      <c r="C174" s="296">
        <v>2</v>
      </c>
      <c r="D174" s="356">
        <v>1</v>
      </c>
      <c r="E174" s="296">
        <v>1</v>
      </c>
      <c r="F174" s="180">
        <f t="shared" si="22"/>
        <v>33</v>
      </c>
      <c r="G174" s="222">
        <v>50</v>
      </c>
      <c r="H174" s="268">
        <f t="shared" si="23"/>
        <v>100</v>
      </c>
      <c r="I174" s="177">
        <f t="shared" si="24"/>
        <v>33</v>
      </c>
      <c r="J174" s="178"/>
      <c r="K174" s="178"/>
      <c r="L174" s="178"/>
      <c r="M174" s="178"/>
      <c r="N174" s="178"/>
      <c r="O174" s="178"/>
      <c r="P174" s="178"/>
      <c r="Q174" s="179"/>
    </row>
    <row r="175" spans="1:17" s="50" customFormat="1" ht="25" customHeight="1">
      <c r="A175" s="269" t="s">
        <v>229</v>
      </c>
      <c r="B175" s="270" t="s">
        <v>406</v>
      </c>
      <c r="C175" s="296">
        <v>2</v>
      </c>
      <c r="D175" s="356">
        <v>1</v>
      </c>
      <c r="E175" s="296">
        <v>1</v>
      </c>
      <c r="F175" s="180">
        <f t="shared" si="22"/>
        <v>33</v>
      </c>
      <c r="G175" s="222">
        <v>55</v>
      </c>
      <c r="H175" s="268">
        <f t="shared" si="23"/>
        <v>110</v>
      </c>
      <c r="I175" s="177">
        <f t="shared" si="24"/>
        <v>33</v>
      </c>
      <c r="J175" s="178"/>
      <c r="K175" s="178"/>
      <c r="L175" s="178"/>
      <c r="M175" s="178"/>
      <c r="N175" s="178"/>
      <c r="O175" s="178"/>
      <c r="P175" s="178"/>
      <c r="Q175" s="179"/>
    </row>
    <row r="176" spans="1:17" s="50" customFormat="1" ht="25" customHeight="1">
      <c r="A176" s="269" t="s">
        <v>283</v>
      </c>
      <c r="B176" s="270" t="s">
        <v>668</v>
      </c>
      <c r="C176" s="357">
        <v>3</v>
      </c>
      <c r="D176" s="356">
        <v>1</v>
      </c>
      <c r="E176" s="357">
        <v>1</v>
      </c>
      <c r="F176" s="180">
        <f t="shared" si="22"/>
        <v>49.5</v>
      </c>
      <c r="G176" s="222">
        <v>30</v>
      </c>
      <c r="H176" s="268">
        <f t="shared" si="23"/>
        <v>90</v>
      </c>
      <c r="I176" s="177">
        <f t="shared" si="24"/>
        <v>49.5</v>
      </c>
      <c r="J176" s="178"/>
      <c r="K176" s="178"/>
      <c r="L176" s="178"/>
      <c r="M176" s="178"/>
      <c r="N176" s="178"/>
      <c r="O176" s="178"/>
      <c r="P176" s="178"/>
      <c r="Q176" s="179"/>
    </row>
    <row r="177" spans="1:17" s="50" customFormat="1" ht="25" customHeight="1">
      <c r="A177" s="269" t="s">
        <v>284</v>
      </c>
      <c r="B177" s="270" t="s">
        <v>407</v>
      </c>
      <c r="C177" s="357">
        <v>2</v>
      </c>
      <c r="D177" s="356">
        <v>1</v>
      </c>
      <c r="E177" s="357">
        <v>1</v>
      </c>
      <c r="F177" s="180">
        <f t="shared" si="22"/>
        <v>33</v>
      </c>
      <c r="G177" s="222">
        <v>30</v>
      </c>
      <c r="H177" s="268">
        <f t="shared" si="23"/>
        <v>60</v>
      </c>
      <c r="I177" s="177">
        <f t="shared" si="24"/>
        <v>33</v>
      </c>
      <c r="J177" s="178"/>
      <c r="K177" s="178"/>
      <c r="L177" s="178"/>
      <c r="M177" s="178"/>
      <c r="N177" s="178"/>
      <c r="O177" s="178"/>
      <c r="P177" s="178"/>
      <c r="Q177" s="179"/>
    </row>
    <row r="178" spans="1:17" s="50" customFormat="1" ht="25" customHeight="1">
      <c r="A178" s="269" t="s">
        <v>287</v>
      </c>
      <c r="B178" s="270" t="s">
        <v>669</v>
      </c>
      <c r="C178" s="357">
        <v>2</v>
      </c>
      <c r="D178" s="356">
        <v>1</v>
      </c>
      <c r="E178" s="357">
        <v>1</v>
      </c>
      <c r="F178" s="180">
        <f t="shared" si="22"/>
        <v>33</v>
      </c>
      <c r="G178" s="222">
        <v>40</v>
      </c>
      <c r="H178" s="268">
        <f t="shared" si="23"/>
        <v>80</v>
      </c>
      <c r="I178" s="177">
        <f t="shared" si="24"/>
        <v>33</v>
      </c>
      <c r="J178" s="178"/>
      <c r="K178" s="178"/>
      <c r="L178" s="178"/>
      <c r="M178" s="178"/>
      <c r="N178" s="178"/>
      <c r="O178" s="178"/>
      <c r="P178" s="178"/>
      <c r="Q178" s="179"/>
    </row>
    <row r="179" spans="1:17" s="50" customFormat="1" ht="25" customHeight="1">
      <c r="A179" s="269" t="s">
        <v>288</v>
      </c>
      <c r="B179" s="270" t="s">
        <v>670</v>
      </c>
      <c r="C179" s="357">
        <v>2</v>
      </c>
      <c r="D179" s="356">
        <v>1</v>
      </c>
      <c r="E179" s="357">
        <v>1</v>
      </c>
      <c r="F179" s="180">
        <f t="shared" si="22"/>
        <v>33</v>
      </c>
      <c r="G179" s="223">
        <v>40</v>
      </c>
      <c r="H179" s="268">
        <f t="shared" si="23"/>
        <v>80</v>
      </c>
      <c r="I179" s="177">
        <f t="shared" si="24"/>
        <v>33</v>
      </c>
      <c r="J179" s="178"/>
      <c r="K179" s="178"/>
      <c r="L179" s="178"/>
      <c r="M179" s="178"/>
      <c r="N179" s="178"/>
      <c r="O179" s="178"/>
      <c r="P179" s="178"/>
      <c r="Q179" s="179"/>
    </row>
    <row r="180" spans="1:17" s="50" customFormat="1" ht="25" customHeight="1">
      <c r="A180" s="269" t="s">
        <v>289</v>
      </c>
      <c r="B180" s="270" t="s">
        <v>408</v>
      </c>
      <c r="C180" s="357">
        <v>1</v>
      </c>
      <c r="D180" s="272">
        <v>1.4</v>
      </c>
      <c r="E180" s="357">
        <v>6</v>
      </c>
      <c r="F180" s="180">
        <f t="shared" si="22"/>
        <v>99</v>
      </c>
      <c r="G180" s="223">
        <v>40</v>
      </c>
      <c r="H180" s="268">
        <f t="shared" si="23"/>
        <v>335.99999999999994</v>
      </c>
      <c r="I180" s="177">
        <f t="shared" si="24"/>
        <v>99</v>
      </c>
      <c r="J180" s="178"/>
      <c r="K180" s="178"/>
      <c r="L180" s="178"/>
      <c r="M180" s="178"/>
      <c r="N180" s="178"/>
      <c r="O180" s="178"/>
      <c r="P180" s="178"/>
      <c r="Q180" s="179"/>
    </row>
    <row r="181" spans="1:17" s="50" customFormat="1" ht="25" customHeight="1">
      <c r="A181" s="269" t="s">
        <v>290</v>
      </c>
      <c r="B181" s="296" t="s">
        <v>409</v>
      </c>
      <c r="C181" s="357">
        <v>1</v>
      </c>
      <c r="D181" s="272">
        <v>1.4</v>
      </c>
      <c r="E181" s="357">
        <v>14</v>
      </c>
      <c r="F181" s="180">
        <f t="shared" si="22"/>
        <v>300.3</v>
      </c>
      <c r="G181" s="223">
        <v>80</v>
      </c>
      <c r="H181" s="268">
        <f t="shared" si="23"/>
        <v>1567.9999999999998</v>
      </c>
      <c r="I181" s="177">
        <f t="shared" si="24"/>
        <v>300.3</v>
      </c>
      <c r="J181" s="178"/>
      <c r="K181" s="178"/>
      <c r="L181" s="178"/>
      <c r="M181" s="178"/>
      <c r="N181" s="178"/>
      <c r="O181" s="178"/>
      <c r="P181" s="178"/>
      <c r="Q181" s="179"/>
    </row>
    <row r="182" spans="1:17" s="50" customFormat="1" ht="25" customHeight="1">
      <c r="A182" s="274"/>
      <c r="B182" s="284" t="s">
        <v>375</v>
      </c>
      <c r="C182" s="287">
        <f>SUM(C171:C181)</f>
        <v>27</v>
      </c>
      <c r="D182" s="287">
        <f>SUM(D171:D181)</f>
        <v>11.8</v>
      </c>
      <c r="E182" s="287">
        <f>SUM(E171:E181)</f>
        <v>52</v>
      </c>
      <c r="F182" s="180">
        <f t="shared" si="22"/>
        <v>30115.8</v>
      </c>
      <c r="G182" s="223">
        <v>80</v>
      </c>
      <c r="H182" s="268">
        <f t="shared" si="23"/>
        <v>1325376</v>
      </c>
      <c r="I182" s="177">
        <f t="shared" si="24"/>
        <v>30115.8</v>
      </c>
      <c r="J182" s="178"/>
      <c r="K182" s="178"/>
      <c r="L182" s="178"/>
      <c r="M182" s="178"/>
      <c r="N182" s="178"/>
      <c r="O182" s="178"/>
      <c r="P182" s="178"/>
      <c r="Q182" s="179"/>
    </row>
    <row r="183" spans="1:17" s="50" customFormat="1" ht="25" customHeight="1">
      <c r="A183" s="358">
        <v>2</v>
      </c>
      <c r="B183" s="358" t="s">
        <v>162</v>
      </c>
      <c r="C183" s="272"/>
      <c r="D183" s="272"/>
      <c r="E183" s="272"/>
      <c r="F183" s="180">
        <f t="shared" si="22"/>
        <v>0</v>
      </c>
      <c r="G183" s="223">
        <v>36</v>
      </c>
      <c r="H183" s="268">
        <f t="shared" si="23"/>
        <v>0</v>
      </c>
      <c r="I183" s="177">
        <f>E183*15</f>
        <v>0</v>
      </c>
      <c r="J183" s="178"/>
      <c r="K183" s="178"/>
      <c r="L183" s="178"/>
      <c r="M183" s="178"/>
      <c r="N183" s="178"/>
      <c r="O183" s="178"/>
      <c r="P183" s="178"/>
      <c r="Q183" s="179"/>
    </row>
    <row r="184" spans="1:17" s="50" customFormat="1" ht="25" customHeight="1">
      <c r="A184" s="317" t="s">
        <v>145</v>
      </c>
      <c r="B184" s="318" t="s">
        <v>163</v>
      </c>
      <c r="C184" s="272"/>
      <c r="D184" s="272"/>
      <c r="E184" s="272"/>
      <c r="F184" s="180">
        <f t="shared" si="22"/>
        <v>0</v>
      </c>
      <c r="G184" s="223">
        <v>20</v>
      </c>
      <c r="H184" s="268">
        <f t="shared" si="23"/>
        <v>0</v>
      </c>
      <c r="I184" s="177">
        <f>E184*15</f>
        <v>0</v>
      </c>
      <c r="J184" s="178"/>
      <c r="K184" s="178"/>
      <c r="L184" s="178"/>
      <c r="M184" s="178"/>
      <c r="N184" s="178"/>
      <c r="O184" s="178"/>
      <c r="P184" s="178"/>
      <c r="Q184" s="179"/>
    </row>
    <row r="185" spans="1:17" s="50" customFormat="1" ht="25" customHeight="1">
      <c r="A185" s="269" t="s">
        <v>224</v>
      </c>
      <c r="B185" s="270" t="s">
        <v>410</v>
      </c>
      <c r="C185" s="296">
        <v>3</v>
      </c>
      <c r="D185" s="356">
        <v>1</v>
      </c>
      <c r="E185" s="357">
        <v>3</v>
      </c>
      <c r="F185" s="200">
        <f>SUM(F171:F184)</f>
        <v>32681.55</v>
      </c>
      <c r="G185" s="207">
        <f>SUM(G171:G184)</f>
        <v>691</v>
      </c>
      <c r="H185" s="207">
        <f>SUM(H171:H184)</f>
        <v>1333970</v>
      </c>
      <c r="I185" s="207">
        <f>SUM(I171:I184)</f>
        <v>32681.55</v>
      </c>
      <c r="J185" s="178"/>
      <c r="K185" s="178"/>
      <c r="L185" s="178"/>
      <c r="M185" s="178"/>
      <c r="N185" s="178"/>
      <c r="O185" s="178"/>
      <c r="P185" s="178"/>
      <c r="Q185" s="179"/>
    </row>
    <row r="186" spans="1:17" s="50" customFormat="1" ht="25" customHeight="1">
      <c r="A186" s="269" t="s">
        <v>225</v>
      </c>
      <c r="B186" s="270" t="s">
        <v>411</v>
      </c>
      <c r="C186" s="296">
        <v>3</v>
      </c>
      <c r="D186" s="356">
        <v>1</v>
      </c>
      <c r="E186" s="357">
        <v>1</v>
      </c>
      <c r="F186" s="224"/>
      <c r="G186" s="224"/>
      <c r="H186" s="213"/>
      <c r="I186" s="214"/>
      <c r="J186" s="178"/>
      <c r="K186" s="178"/>
      <c r="L186" s="178"/>
      <c r="M186" s="178"/>
      <c r="N186" s="178"/>
      <c r="O186" s="178"/>
      <c r="P186" s="178"/>
      <c r="Q186" s="179"/>
    </row>
    <row r="187" spans="1:17" s="50" customFormat="1" ht="25" customHeight="1">
      <c r="A187" s="269" t="s">
        <v>226</v>
      </c>
      <c r="B187" s="285" t="s">
        <v>412</v>
      </c>
      <c r="C187" s="296">
        <v>3</v>
      </c>
      <c r="D187" s="356">
        <v>1</v>
      </c>
      <c r="E187" s="357">
        <v>1</v>
      </c>
      <c r="F187" s="224"/>
      <c r="G187" s="224"/>
      <c r="H187" s="213"/>
      <c r="I187" s="214"/>
      <c r="J187" s="178"/>
      <c r="K187" s="178"/>
      <c r="L187" s="178"/>
      <c r="M187" s="178"/>
      <c r="N187" s="178"/>
      <c r="O187" s="178"/>
      <c r="P187" s="178"/>
      <c r="Q187" s="179"/>
    </row>
    <row r="188" spans="1:17" s="50" customFormat="1" ht="25" customHeight="1">
      <c r="A188" s="269" t="s">
        <v>227</v>
      </c>
      <c r="B188" s="270" t="s">
        <v>413</v>
      </c>
      <c r="C188" s="296">
        <v>3</v>
      </c>
      <c r="D188" s="356">
        <v>1</v>
      </c>
      <c r="E188" s="357">
        <v>1</v>
      </c>
      <c r="F188" s="180">
        <f t="shared" ref="F188:F194" si="25">I188+J188+K188</f>
        <v>74.25</v>
      </c>
      <c r="G188" s="222">
        <v>15</v>
      </c>
      <c r="H188" s="268">
        <f>C188*D188*E188*G188</f>
        <v>45</v>
      </c>
      <c r="I188" s="177">
        <f t="shared" ref="I188:I194" si="26">IF(G188&lt;70, C188*E188*16.5*1*1.5, C188*E188*16.5*1.3*1.5)</f>
        <v>74.25</v>
      </c>
      <c r="J188" s="178"/>
      <c r="K188" s="178"/>
      <c r="L188" s="178"/>
      <c r="M188" s="178"/>
      <c r="N188" s="178"/>
      <c r="O188" s="178"/>
      <c r="P188" s="178"/>
      <c r="Q188" s="179"/>
    </row>
    <row r="189" spans="1:17" s="50" customFormat="1" ht="25" customHeight="1">
      <c r="A189" s="269" t="s">
        <v>228</v>
      </c>
      <c r="B189" s="273" t="s">
        <v>414</v>
      </c>
      <c r="C189" s="296">
        <v>3</v>
      </c>
      <c r="D189" s="356">
        <v>1</v>
      </c>
      <c r="E189" s="357">
        <v>3</v>
      </c>
      <c r="F189" s="180">
        <f t="shared" si="25"/>
        <v>222.75</v>
      </c>
      <c r="G189" s="222">
        <v>10</v>
      </c>
      <c r="H189" s="268">
        <f t="shared" ref="H189:H194" si="27">C189*D189*E189*G189</f>
        <v>90</v>
      </c>
      <c r="I189" s="177">
        <f t="shared" si="26"/>
        <v>222.75</v>
      </c>
      <c r="J189" s="178"/>
      <c r="K189" s="178"/>
      <c r="L189" s="178"/>
      <c r="M189" s="178"/>
      <c r="N189" s="178"/>
      <c r="O189" s="178"/>
      <c r="P189" s="178"/>
      <c r="Q189" s="179"/>
    </row>
    <row r="190" spans="1:17" s="50" customFormat="1" ht="25" customHeight="1">
      <c r="A190" s="269" t="s">
        <v>229</v>
      </c>
      <c r="B190" s="273" t="s">
        <v>415</v>
      </c>
      <c r="C190" s="296">
        <v>3</v>
      </c>
      <c r="D190" s="356">
        <v>1</v>
      </c>
      <c r="E190" s="357">
        <v>1</v>
      </c>
      <c r="F190" s="180">
        <f t="shared" si="25"/>
        <v>74.25</v>
      </c>
      <c r="G190" s="222">
        <v>10</v>
      </c>
      <c r="H190" s="268">
        <f t="shared" si="27"/>
        <v>30</v>
      </c>
      <c r="I190" s="177">
        <f t="shared" si="26"/>
        <v>74.25</v>
      </c>
      <c r="J190" s="178"/>
      <c r="K190" s="178"/>
      <c r="L190" s="178"/>
      <c r="M190" s="178"/>
      <c r="N190" s="178"/>
      <c r="O190" s="178"/>
      <c r="P190" s="178"/>
      <c r="Q190" s="179"/>
    </row>
    <row r="191" spans="1:17" s="50" customFormat="1" ht="25" customHeight="1">
      <c r="A191" s="269" t="s">
        <v>280</v>
      </c>
      <c r="B191" s="273" t="s">
        <v>416</v>
      </c>
      <c r="C191" s="296">
        <v>3</v>
      </c>
      <c r="D191" s="356">
        <v>1</v>
      </c>
      <c r="E191" s="357">
        <v>3</v>
      </c>
      <c r="F191" s="180">
        <f t="shared" si="25"/>
        <v>222.75</v>
      </c>
      <c r="G191" s="222">
        <v>10</v>
      </c>
      <c r="H191" s="268">
        <f t="shared" si="27"/>
        <v>90</v>
      </c>
      <c r="I191" s="177">
        <f t="shared" si="26"/>
        <v>222.75</v>
      </c>
      <c r="J191" s="178"/>
      <c r="K191" s="178"/>
      <c r="L191" s="178"/>
      <c r="M191" s="178"/>
      <c r="N191" s="178"/>
      <c r="O191" s="178"/>
      <c r="P191" s="178"/>
      <c r="Q191" s="179"/>
    </row>
    <row r="192" spans="1:17" s="50" customFormat="1" ht="25" customHeight="1">
      <c r="A192" s="274"/>
      <c r="B192" s="359" t="s">
        <v>375</v>
      </c>
      <c r="C192" s="287">
        <f>SUM(C185:C191)</f>
        <v>21</v>
      </c>
      <c r="D192" s="287">
        <f>SUM(D185:D191)</f>
        <v>7</v>
      </c>
      <c r="E192" s="287">
        <f>SUM(E185:E191)</f>
        <v>13</v>
      </c>
      <c r="F192" s="180">
        <f t="shared" si="25"/>
        <v>6756.75</v>
      </c>
      <c r="G192" s="222">
        <v>15</v>
      </c>
      <c r="H192" s="268">
        <f t="shared" si="27"/>
        <v>28665</v>
      </c>
      <c r="I192" s="177">
        <f t="shared" si="26"/>
        <v>6756.75</v>
      </c>
      <c r="J192" s="178"/>
      <c r="K192" s="178"/>
      <c r="L192" s="178"/>
      <c r="M192" s="178"/>
      <c r="N192" s="178"/>
      <c r="O192" s="178"/>
      <c r="P192" s="178"/>
      <c r="Q192" s="179"/>
    </row>
    <row r="193" spans="1:17" s="50" customFormat="1" ht="25" customHeight="1">
      <c r="A193" s="358" t="s">
        <v>7</v>
      </c>
      <c r="B193" s="358" t="s">
        <v>222</v>
      </c>
      <c r="C193" s="272"/>
      <c r="D193" s="272"/>
      <c r="E193" s="272"/>
      <c r="F193" s="180">
        <f t="shared" si="25"/>
        <v>0</v>
      </c>
      <c r="G193" s="222">
        <v>10</v>
      </c>
      <c r="H193" s="268">
        <f t="shared" si="27"/>
        <v>0</v>
      </c>
      <c r="I193" s="177">
        <f t="shared" si="26"/>
        <v>0</v>
      </c>
      <c r="J193" s="178"/>
      <c r="K193" s="178"/>
      <c r="L193" s="178"/>
      <c r="M193" s="178"/>
      <c r="N193" s="178"/>
      <c r="O193" s="178"/>
      <c r="P193" s="178"/>
      <c r="Q193" s="179"/>
    </row>
    <row r="194" spans="1:17" s="50" customFormat="1" ht="25" customHeight="1">
      <c r="A194" s="358">
        <v>1</v>
      </c>
      <c r="B194" s="318" t="s">
        <v>223</v>
      </c>
      <c r="C194" s="272"/>
      <c r="D194" s="272"/>
      <c r="E194" s="272"/>
      <c r="F194" s="180">
        <f t="shared" si="25"/>
        <v>0</v>
      </c>
      <c r="G194" s="222">
        <v>15</v>
      </c>
      <c r="H194" s="268">
        <f t="shared" si="27"/>
        <v>0</v>
      </c>
      <c r="I194" s="177">
        <f t="shared" si="26"/>
        <v>0</v>
      </c>
      <c r="J194" s="178"/>
      <c r="K194" s="178"/>
      <c r="L194" s="178"/>
      <c r="M194" s="178"/>
      <c r="N194" s="178"/>
      <c r="O194" s="178"/>
      <c r="P194" s="178"/>
      <c r="Q194" s="179"/>
    </row>
    <row r="195" spans="1:17" s="50" customFormat="1" ht="25" customHeight="1">
      <c r="A195" s="358" t="s">
        <v>145</v>
      </c>
      <c r="B195" s="318" t="s">
        <v>161</v>
      </c>
      <c r="C195" s="272"/>
      <c r="D195" s="272"/>
      <c r="E195" s="272"/>
      <c r="F195" s="200">
        <f>SUM(F188:F194)</f>
        <v>7350.75</v>
      </c>
      <c r="G195" s="207">
        <f>SUM(G188:G194)</f>
        <v>85</v>
      </c>
      <c r="H195" s="207">
        <f>SUM(H188:H194)</f>
        <v>28920</v>
      </c>
      <c r="I195" s="207">
        <f>SUM(I188:I194)</f>
        <v>7350.75</v>
      </c>
      <c r="J195" s="178"/>
      <c r="K195" s="178"/>
      <c r="L195" s="178"/>
      <c r="M195" s="178"/>
      <c r="N195" s="178"/>
      <c r="O195" s="178"/>
      <c r="P195" s="178"/>
      <c r="Q195" s="179"/>
    </row>
    <row r="196" spans="1:17" s="50" customFormat="1" ht="25" customHeight="1">
      <c r="A196" s="313" t="s">
        <v>224</v>
      </c>
      <c r="B196" s="270" t="s">
        <v>671</v>
      </c>
      <c r="C196" s="357">
        <v>5</v>
      </c>
      <c r="D196" s="356">
        <v>1</v>
      </c>
      <c r="E196" s="272">
        <v>25</v>
      </c>
      <c r="F196" s="224"/>
      <c r="G196" s="224"/>
      <c r="H196" s="224"/>
      <c r="I196" s="225"/>
      <c r="J196" s="225"/>
      <c r="K196" s="225"/>
      <c r="L196" s="225"/>
      <c r="M196" s="225"/>
      <c r="N196" s="225"/>
      <c r="O196" s="225"/>
      <c r="P196" s="225"/>
      <c r="Q196" s="226"/>
    </row>
    <row r="197" spans="1:17" s="50" customFormat="1" ht="25" customHeight="1">
      <c r="A197" s="313" t="s">
        <v>225</v>
      </c>
      <c r="B197" s="270" t="s">
        <v>672</v>
      </c>
      <c r="C197" s="357">
        <v>5</v>
      </c>
      <c r="D197" s="356">
        <v>1</v>
      </c>
      <c r="E197" s="272">
        <v>26</v>
      </c>
      <c r="F197" s="224"/>
      <c r="G197" s="224"/>
      <c r="H197" s="224"/>
      <c r="I197" s="225"/>
      <c r="J197" s="225"/>
      <c r="K197" s="225"/>
      <c r="L197" s="225"/>
      <c r="M197" s="225"/>
      <c r="N197" s="225"/>
      <c r="O197" s="225"/>
      <c r="P197" s="225"/>
      <c r="Q197" s="226"/>
    </row>
    <row r="198" spans="1:17" s="50" customFormat="1" ht="25" customHeight="1">
      <c r="A198" s="274"/>
      <c r="B198" s="284" t="s">
        <v>375</v>
      </c>
      <c r="C198" s="287">
        <f>SUM(C196:C197)</f>
        <v>10</v>
      </c>
      <c r="D198" s="287">
        <f>SUM(D196:D197)</f>
        <v>2</v>
      </c>
      <c r="E198" s="287">
        <f>SUM(E196:E197)</f>
        <v>51</v>
      </c>
      <c r="F198" s="224"/>
      <c r="G198" s="224"/>
      <c r="H198" s="224"/>
      <c r="I198" s="225"/>
      <c r="J198" s="225"/>
      <c r="K198" s="225"/>
      <c r="L198" s="225"/>
      <c r="M198" s="225"/>
      <c r="N198" s="225"/>
      <c r="O198" s="225"/>
      <c r="P198" s="225"/>
      <c r="Q198" s="226"/>
    </row>
    <row r="199" spans="1:17" s="50" customFormat="1" ht="25" customHeight="1">
      <c r="A199" s="327"/>
      <c r="B199" s="332" t="s">
        <v>419</v>
      </c>
      <c r="C199" s="321">
        <f>C182+C192+C198</f>
        <v>58</v>
      </c>
      <c r="D199" s="321">
        <f>D182+D192+D198</f>
        <v>20.8</v>
      </c>
      <c r="E199" s="321">
        <f>E182+E192+E198</f>
        <v>116</v>
      </c>
      <c r="F199" s="180">
        <f>I199+J199+K199</f>
        <v>111012</v>
      </c>
      <c r="G199" s="224">
        <v>50</v>
      </c>
      <c r="H199" s="268">
        <f>C199*D199*E199*G199</f>
        <v>6997120.0000000009</v>
      </c>
      <c r="I199" s="177">
        <f>IF(G199&lt;70, C199*E199*16.5*1, C199*E199*16.5*1.3)</f>
        <v>111012</v>
      </c>
      <c r="J199" s="225"/>
      <c r="K199" s="225"/>
      <c r="L199" s="225"/>
      <c r="M199" s="225"/>
      <c r="N199" s="225"/>
      <c r="O199" s="225"/>
      <c r="P199" s="225"/>
      <c r="Q199" s="226"/>
    </row>
    <row r="200" spans="1:17" s="50" customFormat="1" ht="25" customHeight="1">
      <c r="A200" s="217" t="s">
        <v>426</v>
      </c>
      <c r="B200" s="252" t="s">
        <v>427</v>
      </c>
      <c r="C200" s="216"/>
      <c r="D200" s="216"/>
      <c r="E200" s="216"/>
      <c r="F200" s="247"/>
      <c r="G200" s="216"/>
      <c r="H200" s="216"/>
      <c r="I200" s="216"/>
      <c r="J200" s="178"/>
      <c r="K200" s="178"/>
      <c r="L200" s="178"/>
      <c r="M200" s="178"/>
      <c r="N200" s="178"/>
      <c r="O200" s="178"/>
      <c r="P200" s="178"/>
      <c r="Q200" s="179"/>
    </row>
    <row r="201" spans="1:17" s="50" customFormat="1" ht="25" customHeight="1">
      <c r="A201" s="217" t="s">
        <v>6</v>
      </c>
      <c r="B201" s="217" t="s">
        <v>221</v>
      </c>
      <c r="C201" s="216"/>
      <c r="D201" s="216"/>
      <c r="E201" s="216"/>
      <c r="F201" s="247"/>
      <c r="G201" s="216"/>
      <c r="H201" s="216"/>
      <c r="I201" s="216"/>
      <c r="J201" s="178"/>
      <c r="K201" s="178"/>
      <c r="L201" s="178"/>
      <c r="M201" s="178"/>
      <c r="N201" s="178"/>
      <c r="O201" s="178"/>
      <c r="P201" s="178"/>
      <c r="Q201" s="179"/>
    </row>
    <row r="202" spans="1:17" s="50" customFormat="1" ht="25" customHeight="1">
      <c r="A202" s="217">
        <v>1</v>
      </c>
      <c r="B202" s="217" t="s">
        <v>4</v>
      </c>
      <c r="C202" s="216"/>
      <c r="D202" s="216"/>
      <c r="E202" s="216"/>
      <c r="F202" s="247"/>
      <c r="G202" s="216"/>
      <c r="H202" s="216"/>
      <c r="I202" s="216"/>
      <c r="J202" s="178"/>
      <c r="K202" s="178"/>
      <c r="L202" s="178"/>
      <c r="M202" s="178"/>
      <c r="N202" s="178"/>
      <c r="O202" s="178"/>
      <c r="P202" s="178"/>
      <c r="Q202" s="179"/>
    </row>
    <row r="203" spans="1:17" s="50" customFormat="1" ht="25" customHeight="1">
      <c r="A203" s="269" t="s">
        <v>224</v>
      </c>
      <c r="B203" s="270" t="s">
        <v>673</v>
      </c>
      <c r="C203" s="271">
        <v>4</v>
      </c>
      <c r="D203" s="271">
        <v>1</v>
      </c>
      <c r="E203" s="271">
        <v>10</v>
      </c>
      <c r="F203" s="224"/>
      <c r="G203" s="220"/>
      <c r="H203" s="220"/>
      <c r="I203" s="227"/>
      <c r="J203" s="178"/>
      <c r="K203" s="178"/>
      <c r="L203" s="178"/>
      <c r="M203" s="178"/>
      <c r="N203" s="178"/>
      <c r="O203" s="178"/>
      <c r="P203" s="178"/>
      <c r="Q203" s="179"/>
    </row>
    <row r="204" spans="1:17" s="50" customFormat="1" ht="25" customHeight="1">
      <c r="A204" s="269" t="s">
        <v>225</v>
      </c>
      <c r="B204" s="270" t="s">
        <v>674</v>
      </c>
      <c r="C204" s="272">
        <v>3</v>
      </c>
      <c r="D204" s="272">
        <v>1</v>
      </c>
      <c r="E204" s="272">
        <v>4</v>
      </c>
      <c r="F204" s="180">
        <f t="shared" ref="F204:F210" si="28">I204+J204+K204</f>
        <v>257.40000000000003</v>
      </c>
      <c r="G204" s="228">
        <v>70</v>
      </c>
      <c r="H204" s="268">
        <f t="shared" ref="H204:H210" si="29">C204*D204*E204*G204</f>
        <v>840</v>
      </c>
      <c r="I204" s="177">
        <f t="shared" ref="I204:I210" si="30">IF(G204&lt;70, C204*E204*16.5*1, C204*E204*16.5*1.3)</f>
        <v>257.40000000000003</v>
      </c>
      <c r="J204" s="178"/>
      <c r="K204" s="178"/>
      <c r="L204" s="178"/>
      <c r="M204" s="178"/>
      <c r="N204" s="178"/>
      <c r="O204" s="178"/>
      <c r="P204" s="178"/>
      <c r="Q204" s="179"/>
    </row>
    <row r="205" spans="1:17" s="50" customFormat="1" ht="25" customHeight="1">
      <c r="A205" s="269" t="s">
        <v>226</v>
      </c>
      <c r="B205" s="285" t="s">
        <v>421</v>
      </c>
      <c r="C205" s="272">
        <v>3</v>
      </c>
      <c r="D205" s="272">
        <v>1</v>
      </c>
      <c r="E205" s="272">
        <v>3</v>
      </c>
      <c r="F205" s="180">
        <f t="shared" si="28"/>
        <v>193.05</v>
      </c>
      <c r="G205" s="224">
        <v>70</v>
      </c>
      <c r="H205" s="268">
        <f t="shared" si="29"/>
        <v>630</v>
      </c>
      <c r="I205" s="177">
        <f t="shared" si="30"/>
        <v>193.05</v>
      </c>
      <c r="J205" s="178"/>
      <c r="K205" s="178"/>
      <c r="L205" s="178"/>
      <c r="M205" s="178"/>
      <c r="N205" s="178"/>
      <c r="O205" s="178"/>
      <c r="P205" s="178"/>
      <c r="Q205" s="179"/>
    </row>
    <row r="206" spans="1:17" s="50" customFormat="1" ht="25" customHeight="1">
      <c r="A206" s="269" t="s">
        <v>227</v>
      </c>
      <c r="B206" s="285" t="s">
        <v>422</v>
      </c>
      <c r="C206" s="272">
        <v>4</v>
      </c>
      <c r="D206" s="272">
        <v>1</v>
      </c>
      <c r="E206" s="272">
        <v>3</v>
      </c>
      <c r="F206" s="180">
        <f t="shared" si="28"/>
        <v>257.40000000000003</v>
      </c>
      <c r="G206" s="224">
        <v>70</v>
      </c>
      <c r="H206" s="268">
        <f t="shared" si="29"/>
        <v>840</v>
      </c>
      <c r="I206" s="177">
        <f t="shared" si="30"/>
        <v>257.40000000000003</v>
      </c>
      <c r="J206" s="178"/>
      <c r="K206" s="178"/>
      <c r="L206" s="178"/>
      <c r="M206" s="178"/>
      <c r="N206" s="178"/>
      <c r="O206" s="178"/>
      <c r="P206" s="178"/>
      <c r="Q206" s="179"/>
    </row>
    <row r="207" spans="1:17" s="50" customFormat="1" ht="25" customHeight="1">
      <c r="A207" s="269" t="s">
        <v>228</v>
      </c>
      <c r="B207" s="285" t="s">
        <v>423</v>
      </c>
      <c r="C207" s="272">
        <v>4</v>
      </c>
      <c r="D207" s="272">
        <v>1</v>
      </c>
      <c r="E207" s="272">
        <v>4</v>
      </c>
      <c r="F207" s="180">
        <f t="shared" si="28"/>
        <v>343.2</v>
      </c>
      <c r="G207" s="224">
        <v>70</v>
      </c>
      <c r="H207" s="268">
        <f t="shared" si="29"/>
        <v>1120</v>
      </c>
      <c r="I207" s="177">
        <f t="shared" si="30"/>
        <v>343.2</v>
      </c>
      <c r="J207" s="178"/>
      <c r="K207" s="178"/>
      <c r="L207" s="178"/>
      <c r="M207" s="178"/>
      <c r="N207" s="178"/>
      <c r="O207" s="178"/>
      <c r="P207" s="178"/>
      <c r="Q207" s="179"/>
    </row>
    <row r="208" spans="1:17" s="50" customFormat="1" ht="25" customHeight="1">
      <c r="A208" s="269" t="s">
        <v>229</v>
      </c>
      <c r="B208" s="273" t="s">
        <v>424</v>
      </c>
      <c r="C208" s="272">
        <v>4</v>
      </c>
      <c r="D208" s="272">
        <v>1</v>
      </c>
      <c r="E208" s="272">
        <v>1</v>
      </c>
      <c r="F208" s="180">
        <f t="shared" si="28"/>
        <v>85.8</v>
      </c>
      <c r="G208" s="224">
        <v>70</v>
      </c>
      <c r="H208" s="268">
        <f t="shared" si="29"/>
        <v>280</v>
      </c>
      <c r="I208" s="177">
        <f t="shared" si="30"/>
        <v>85.8</v>
      </c>
      <c r="J208" s="178"/>
      <c r="K208" s="178"/>
      <c r="L208" s="178"/>
      <c r="M208" s="178"/>
      <c r="N208" s="178"/>
      <c r="O208" s="178"/>
      <c r="P208" s="178"/>
      <c r="Q208" s="179"/>
    </row>
    <row r="209" spans="1:17" s="50" customFormat="1" ht="25" customHeight="1">
      <c r="A209" s="269" t="s">
        <v>675</v>
      </c>
      <c r="B209" s="273" t="s">
        <v>676</v>
      </c>
      <c r="C209" s="272">
        <v>2</v>
      </c>
      <c r="D209" s="272">
        <v>1</v>
      </c>
      <c r="E209" s="272">
        <v>4</v>
      </c>
      <c r="F209" s="180">
        <f t="shared" si="28"/>
        <v>171.6</v>
      </c>
      <c r="G209" s="224">
        <v>70</v>
      </c>
      <c r="H209" s="268">
        <f t="shared" si="29"/>
        <v>560</v>
      </c>
      <c r="I209" s="177">
        <f t="shared" si="30"/>
        <v>171.6</v>
      </c>
      <c r="J209" s="178"/>
      <c r="K209" s="178"/>
      <c r="L209" s="178"/>
      <c r="M209" s="178"/>
      <c r="N209" s="178"/>
      <c r="O209" s="178"/>
      <c r="P209" s="178"/>
      <c r="Q209" s="179"/>
    </row>
    <row r="210" spans="1:17" s="50" customFormat="1" ht="25" customHeight="1">
      <c r="A210" s="269" t="s">
        <v>677</v>
      </c>
      <c r="B210" s="273" t="s">
        <v>678</v>
      </c>
      <c r="C210" s="272">
        <v>2</v>
      </c>
      <c r="D210" s="272">
        <v>1</v>
      </c>
      <c r="E210" s="272">
        <v>10</v>
      </c>
      <c r="F210" s="180">
        <f t="shared" si="28"/>
        <v>429</v>
      </c>
      <c r="G210" s="224">
        <v>70</v>
      </c>
      <c r="H210" s="268">
        <f t="shared" si="29"/>
        <v>1400</v>
      </c>
      <c r="I210" s="177">
        <f t="shared" si="30"/>
        <v>429</v>
      </c>
      <c r="J210" s="178"/>
      <c r="K210" s="178"/>
      <c r="L210" s="178"/>
      <c r="M210" s="178"/>
      <c r="N210" s="178"/>
      <c r="O210" s="178"/>
      <c r="P210" s="178"/>
      <c r="Q210" s="179"/>
    </row>
    <row r="211" spans="1:17" s="50" customFormat="1" ht="25" customHeight="1">
      <c r="A211" s="269" t="s">
        <v>280</v>
      </c>
      <c r="B211" s="273" t="s">
        <v>425</v>
      </c>
      <c r="C211" s="272">
        <v>3</v>
      </c>
      <c r="D211" s="272">
        <v>1</v>
      </c>
      <c r="E211" s="272">
        <v>4</v>
      </c>
      <c r="F211" s="200">
        <f>SUM(F204:F210)</f>
        <v>1737.45</v>
      </c>
      <c r="G211" s="207">
        <f>SUM(G204:G210)</f>
        <v>490</v>
      </c>
      <c r="H211" s="207">
        <f>SUM(H204:H210)</f>
        <v>5670</v>
      </c>
      <c r="I211" s="207">
        <f>SUM(I204:I210)</f>
        <v>1737.45</v>
      </c>
      <c r="J211" s="178"/>
      <c r="K211" s="178"/>
      <c r="L211" s="178"/>
      <c r="M211" s="178"/>
      <c r="N211" s="178"/>
      <c r="O211" s="178"/>
      <c r="P211" s="178"/>
      <c r="Q211" s="179"/>
    </row>
    <row r="212" spans="1:17" s="50" customFormat="1" ht="25" customHeight="1">
      <c r="A212" s="274"/>
      <c r="B212" s="284" t="s">
        <v>375</v>
      </c>
      <c r="C212" s="287">
        <f>SUM(C203:C211)</f>
        <v>29</v>
      </c>
      <c r="D212" s="287">
        <f>SUM(D203:D211)</f>
        <v>9</v>
      </c>
      <c r="E212" s="287">
        <f>SUM(E203:E211)</f>
        <v>43</v>
      </c>
      <c r="F212" s="224"/>
      <c r="G212" s="224"/>
      <c r="H212" s="224"/>
      <c r="I212" s="225"/>
      <c r="J212" s="225"/>
      <c r="K212" s="225"/>
      <c r="L212" s="225"/>
      <c r="M212" s="225"/>
      <c r="N212" s="178"/>
      <c r="O212" s="178"/>
      <c r="P212" s="178"/>
      <c r="Q212" s="179"/>
    </row>
    <row r="213" spans="1:17" s="50" customFormat="1" ht="25" customHeight="1">
      <c r="A213" s="311" t="s">
        <v>146</v>
      </c>
      <c r="B213" s="312" t="s">
        <v>149</v>
      </c>
      <c r="C213" s="272"/>
      <c r="D213" s="272"/>
      <c r="E213" s="272"/>
      <c r="F213" s="224"/>
      <c r="G213" s="224"/>
      <c r="H213" s="224"/>
      <c r="I213" s="225"/>
      <c r="J213" s="225"/>
      <c r="K213" s="225"/>
      <c r="L213" s="225"/>
      <c r="M213" s="225"/>
      <c r="N213" s="178"/>
      <c r="O213" s="178"/>
      <c r="P213" s="178"/>
      <c r="Q213" s="179"/>
    </row>
    <row r="214" spans="1:17" s="50" customFormat="1" ht="25" customHeight="1">
      <c r="A214" s="313" t="s">
        <v>230</v>
      </c>
      <c r="B214" s="269" t="s">
        <v>152</v>
      </c>
      <c r="C214" s="272"/>
      <c r="D214" s="272"/>
      <c r="E214" s="272"/>
      <c r="F214" s="224"/>
      <c r="G214" s="224"/>
      <c r="H214" s="224"/>
      <c r="I214" s="225"/>
      <c r="J214" s="225"/>
      <c r="K214" s="225"/>
      <c r="L214" s="225"/>
      <c r="M214" s="225"/>
      <c r="N214" s="178"/>
      <c r="O214" s="178"/>
      <c r="P214" s="178"/>
      <c r="Q214" s="179"/>
    </row>
    <row r="215" spans="1:17" s="50" customFormat="1" ht="25" customHeight="1">
      <c r="A215" s="313" t="s">
        <v>231</v>
      </c>
      <c r="B215" s="269" t="s">
        <v>151</v>
      </c>
      <c r="C215" s="272"/>
      <c r="D215" s="272"/>
      <c r="E215" s="272"/>
      <c r="F215" s="224"/>
      <c r="G215" s="224"/>
      <c r="H215" s="224"/>
      <c r="I215" s="225"/>
      <c r="J215" s="225"/>
      <c r="K215" s="225"/>
      <c r="L215" s="225"/>
      <c r="M215" s="225"/>
      <c r="N215" s="178"/>
      <c r="O215" s="178"/>
      <c r="P215" s="178"/>
      <c r="Q215" s="179"/>
    </row>
    <row r="216" spans="1:17" s="50" customFormat="1" ht="25" customHeight="1">
      <c r="A216" s="313" t="s">
        <v>232</v>
      </c>
      <c r="B216" s="269" t="s">
        <v>153</v>
      </c>
      <c r="C216" s="272"/>
      <c r="D216" s="272"/>
      <c r="E216" s="272"/>
      <c r="F216" s="224"/>
      <c r="G216" s="224"/>
      <c r="H216" s="224"/>
      <c r="I216" s="225"/>
      <c r="J216" s="225"/>
      <c r="K216" s="225"/>
      <c r="L216" s="225"/>
      <c r="M216" s="225"/>
      <c r="N216" s="178"/>
      <c r="O216" s="178"/>
      <c r="P216" s="178"/>
      <c r="Q216" s="179"/>
    </row>
    <row r="217" spans="1:17" s="50" customFormat="1" ht="25" customHeight="1">
      <c r="A217" s="313" t="s">
        <v>233</v>
      </c>
      <c r="B217" s="269" t="s">
        <v>154</v>
      </c>
      <c r="C217" s="272"/>
      <c r="D217" s="272"/>
      <c r="E217" s="272"/>
      <c r="F217" s="224"/>
      <c r="G217" s="224"/>
      <c r="H217" s="224"/>
      <c r="I217" s="225"/>
      <c r="J217" s="225"/>
      <c r="K217" s="225"/>
      <c r="L217" s="225"/>
      <c r="M217" s="225"/>
      <c r="N217" s="178"/>
      <c r="O217" s="178"/>
      <c r="P217" s="178"/>
      <c r="Q217" s="179"/>
    </row>
    <row r="218" spans="1:17" s="50" customFormat="1" ht="25" customHeight="1">
      <c r="A218" s="313" t="s">
        <v>234</v>
      </c>
      <c r="B218" s="269" t="s">
        <v>155</v>
      </c>
      <c r="C218" s="272"/>
      <c r="D218" s="272"/>
      <c r="E218" s="272"/>
      <c r="F218" s="224"/>
      <c r="G218" s="224"/>
      <c r="H218" s="224"/>
      <c r="I218" s="225"/>
      <c r="J218" s="225"/>
      <c r="K218" s="225"/>
      <c r="L218" s="225"/>
      <c r="M218" s="225"/>
      <c r="N218" s="178"/>
      <c r="O218" s="178"/>
      <c r="P218" s="178"/>
      <c r="Q218" s="179"/>
    </row>
    <row r="219" spans="1:17" s="50" customFormat="1" ht="25" customHeight="1">
      <c r="A219" s="358">
        <v>2</v>
      </c>
      <c r="B219" s="358" t="s">
        <v>162</v>
      </c>
      <c r="C219" s="272"/>
      <c r="D219" s="272"/>
      <c r="E219" s="272"/>
      <c r="F219" s="224"/>
      <c r="G219" s="224"/>
      <c r="H219" s="224"/>
      <c r="I219" s="225"/>
      <c r="J219" s="225"/>
      <c r="K219" s="225"/>
      <c r="L219" s="225"/>
      <c r="M219" s="225"/>
      <c r="N219" s="178"/>
      <c r="O219" s="178"/>
      <c r="P219" s="178"/>
      <c r="Q219" s="179"/>
    </row>
    <row r="220" spans="1:17" s="50" customFormat="1" ht="25" customHeight="1">
      <c r="A220" s="317" t="s">
        <v>145</v>
      </c>
      <c r="B220" s="318" t="s">
        <v>163</v>
      </c>
      <c r="C220" s="272"/>
      <c r="D220" s="272"/>
      <c r="E220" s="272"/>
      <c r="F220" s="180">
        <f>I220+J220+K220</f>
        <v>0</v>
      </c>
      <c r="G220" s="224">
        <v>25</v>
      </c>
      <c r="H220" s="268">
        <f>C220*D220*E220*G220</f>
        <v>0</v>
      </c>
      <c r="I220" s="177">
        <f>IF(G220&lt;70, C220*E220*16.5*1.5, C220*E220*16.5*1.5)</f>
        <v>0</v>
      </c>
      <c r="J220" s="225"/>
      <c r="K220" s="225"/>
      <c r="L220" s="225"/>
      <c r="M220" s="225"/>
      <c r="N220" s="178"/>
      <c r="O220" s="178"/>
      <c r="P220" s="178"/>
      <c r="Q220" s="179"/>
    </row>
    <row r="221" spans="1:17" s="50" customFormat="1" ht="25" customHeight="1">
      <c r="A221" s="269" t="s">
        <v>224</v>
      </c>
      <c r="B221" s="285" t="s">
        <v>428</v>
      </c>
      <c r="C221" s="272">
        <v>3</v>
      </c>
      <c r="D221" s="272">
        <v>1</v>
      </c>
      <c r="E221" s="272">
        <v>3</v>
      </c>
      <c r="F221" s="180">
        <f>I221+J221+K221</f>
        <v>222.75</v>
      </c>
      <c r="G221" s="224">
        <v>15</v>
      </c>
      <c r="H221" s="268">
        <f>C221*D221*E221*G221</f>
        <v>135</v>
      </c>
      <c r="I221" s="177">
        <f>IF(G221&lt;70, C221*E221*16.5*1.5, C221*E221*16.5*1.5)</f>
        <v>222.75</v>
      </c>
      <c r="J221" s="225"/>
      <c r="K221" s="225"/>
      <c r="L221" s="225"/>
      <c r="M221" s="225"/>
      <c r="N221" s="178"/>
      <c r="O221" s="178"/>
      <c r="P221" s="178"/>
      <c r="Q221" s="179"/>
    </row>
    <row r="222" spans="1:17" s="50" customFormat="1" ht="25" customHeight="1">
      <c r="A222" s="269" t="s">
        <v>225</v>
      </c>
      <c r="B222" s="285" t="s">
        <v>429</v>
      </c>
      <c r="C222" s="272">
        <v>3</v>
      </c>
      <c r="D222" s="272">
        <v>1</v>
      </c>
      <c r="E222" s="272">
        <v>1</v>
      </c>
      <c r="F222" s="180">
        <f>I222+J222+K222</f>
        <v>74.25</v>
      </c>
      <c r="G222" s="224">
        <v>25</v>
      </c>
      <c r="H222" s="268">
        <f>C222*D222*E222*G222</f>
        <v>75</v>
      </c>
      <c r="I222" s="177">
        <f>IF(G222&lt;70, C222*E222*16.5*1.5, C222*E222*16.5*1.5)</f>
        <v>74.25</v>
      </c>
      <c r="J222" s="225"/>
      <c r="K222" s="225"/>
      <c r="L222" s="225"/>
      <c r="M222" s="225"/>
      <c r="N222" s="178"/>
      <c r="O222" s="178"/>
      <c r="P222" s="178"/>
      <c r="Q222" s="179"/>
    </row>
    <row r="223" spans="1:17" s="50" customFormat="1" ht="25" customHeight="1">
      <c r="A223" s="269"/>
      <c r="B223" s="285" t="s">
        <v>679</v>
      </c>
      <c r="C223" s="272">
        <v>3</v>
      </c>
      <c r="D223" s="272">
        <v>1</v>
      </c>
      <c r="E223" s="272">
        <v>1</v>
      </c>
      <c r="F223" s="224">
        <f>SUM(F220:F222)</f>
        <v>297</v>
      </c>
      <c r="G223" s="220">
        <f>SUM(G220:G222)</f>
        <v>65</v>
      </c>
      <c r="H223" s="220">
        <f>SUM(H220:H222)</f>
        <v>210</v>
      </c>
      <c r="I223" s="220">
        <f>SUM(I220:I222)</f>
        <v>297</v>
      </c>
      <c r="J223" s="225"/>
      <c r="K223" s="225"/>
      <c r="L223" s="225"/>
      <c r="M223" s="225"/>
      <c r="N223" s="178"/>
      <c r="O223" s="178"/>
      <c r="P223" s="178"/>
      <c r="Q223" s="179"/>
    </row>
    <row r="224" spans="1:17" s="50" customFormat="1" ht="25" customHeight="1">
      <c r="A224" s="269" t="s">
        <v>226</v>
      </c>
      <c r="B224" s="270" t="s">
        <v>430</v>
      </c>
      <c r="C224" s="272">
        <v>3</v>
      </c>
      <c r="D224" s="272">
        <v>1</v>
      </c>
      <c r="E224" s="272">
        <v>3</v>
      </c>
      <c r="F224" s="224"/>
      <c r="G224" s="224"/>
      <c r="H224" s="224"/>
      <c r="I224" s="225"/>
      <c r="J224" s="225"/>
      <c r="K224" s="225"/>
      <c r="L224" s="225"/>
      <c r="M224" s="225"/>
      <c r="N224" s="178"/>
      <c r="O224" s="178"/>
      <c r="P224" s="178"/>
      <c r="Q224" s="179"/>
    </row>
    <row r="225" spans="1:17" s="50" customFormat="1" ht="25" customHeight="1">
      <c r="A225" s="269"/>
      <c r="B225" s="322" t="s">
        <v>375</v>
      </c>
      <c r="C225" s="315">
        <f>SUM(C221:C224)</f>
        <v>12</v>
      </c>
      <c r="D225" s="315">
        <f>SUM(D221:D224)</f>
        <v>4</v>
      </c>
      <c r="E225" s="315">
        <f>SUM(E221:E224)</f>
        <v>8</v>
      </c>
      <c r="F225" s="224"/>
      <c r="G225" s="224"/>
      <c r="H225" s="224"/>
      <c r="I225" s="225"/>
      <c r="J225" s="225"/>
      <c r="K225" s="225"/>
      <c r="L225" s="225"/>
      <c r="M225" s="225"/>
      <c r="N225" s="178"/>
      <c r="O225" s="178"/>
      <c r="P225" s="178"/>
      <c r="Q225" s="179"/>
    </row>
    <row r="226" spans="1:17" s="50" customFormat="1" ht="25" customHeight="1">
      <c r="A226" s="311" t="s">
        <v>146</v>
      </c>
      <c r="B226" s="312" t="s">
        <v>680</v>
      </c>
      <c r="C226" s="272"/>
      <c r="D226" s="272"/>
      <c r="E226" s="272"/>
      <c r="F226" s="224"/>
      <c r="G226" s="224"/>
      <c r="H226" s="224"/>
      <c r="I226" s="225"/>
      <c r="J226" s="225"/>
      <c r="K226" s="225"/>
      <c r="L226" s="225"/>
      <c r="M226" s="225"/>
      <c r="N226" s="178"/>
      <c r="O226" s="178"/>
      <c r="P226" s="178"/>
      <c r="Q226" s="179"/>
    </row>
    <row r="227" spans="1:17" s="50" customFormat="1" ht="25" customHeight="1">
      <c r="A227" s="358">
        <v>3</v>
      </c>
      <c r="B227" s="358" t="s">
        <v>164</v>
      </c>
      <c r="C227" s="272"/>
      <c r="D227" s="272"/>
      <c r="E227" s="272"/>
      <c r="F227" s="224"/>
      <c r="G227" s="224"/>
      <c r="H227" s="224"/>
      <c r="I227" s="225"/>
      <c r="J227" s="225"/>
      <c r="K227" s="225"/>
      <c r="L227" s="225"/>
      <c r="M227" s="225"/>
      <c r="N227" s="178"/>
      <c r="O227" s="178"/>
      <c r="P227" s="178"/>
      <c r="Q227" s="179"/>
    </row>
    <row r="228" spans="1:17" s="50" customFormat="1" ht="25" customHeight="1">
      <c r="A228" s="317" t="s">
        <v>145</v>
      </c>
      <c r="B228" s="318" t="s">
        <v>165</v>
      </c>
      <c r="C228" s="272"/>
      <c r="D228" s="272"/>
      <c r="E228" s="272"/>
      <c r="F228" s="224"/>
      <c r="G228" s="224"/>
      <c r="H228" s="224"/>
      <c r="I228" s="225"/>
      <c r="J228" s="225"/>
      <c r="K228" s="225"/>
      <c r="L228" s="225"/>
      <c r="M228" s="225"/>
      <c r="N228" s="178"/>
      <c r="O228" s="178"/>
      <c r="P228" s="178"/>
      <c r="Q228" s="179"/>
    </row>
    <row r="229" spans="1:17" s="50" customFormat="1" ht="25" customHeight="1">
      <c r="A229" s="311" t="s">
        <v>146</v>
      </c>
      <c r="B229" s="312" t="s">
        <v>166</v>
      </c>
      <c r="C229" s="272"/>
      <c r="D229" s="272"/>
      <c r="E229" s="272"/>
      <c r="F229" s="224">
        <f>F224+F227+F228</f>
        <v>0</v>
      </c>
      <c r="G229" s="220">
        <f>G224+G227+G228</f>
        <v>0</v>
      </c>
      <c r="H229" s="220">
        <f>H224+H227+H228</f>
        <v>0</v>
      </c>
      <c r="I229" s="220">
        <f>I224+I227+I228</f>
        <v>0</v>
      </c>
      <c r="J229" s="225"/>
      <c r="K229" s="225"/>
      <c r="L229" s="225"/>
      <c r="M229" s="225"/>
      <c r="N229" s="178"/>
      <c r="O229" s="178"/>
      <c r="P229" s="178"/>
      <c r="Q229" s="179"/>
    </row>
    <row r="230" spans="1:17" s="50" customFormat="1" ht="25" customHeight="1">
      <c r="A230" s="311" t="s">
        <v>167</v>
      </c>
      <c r="B230" s="312" t="s">
        <v>168</v>
      </c>
      <c r="C230" s="272"/>
      <c r="D230" s="272"/>
      <c r="E230" s="272"/>
      <c r="F230" s="224"/>
      <c r="G230" s="224"/>
      <c r="H230" s="224"/>
      <c r="I230" s="225"/>
      <c r="J230" s="225"/>
      <c r="K230" s="225"/>
      <c r="L230" s="225"/>
      <c r="M230" s="225"/>
      <c r="N230" s="178"/>
      <c r="O230" s="178"/>
      <c r="P230" s="178"/>
      <c r="Q230" s="179"/>
    </row>
    <row r="231" spans="1:17" s="50" customFormat="1" ht="25" customHeight="1">
      <c r="A231" s="313"/>
      <c r="B231" s="314" t="s">
        <v>433</v>
      </c>
      <c r="C231" s="315">
        <f>C229+C230</f>
        <v>0</v>
      </c>
      <c r="D231" s="315">
        <f>D226+D229+D230</f>
        <v>0</v>
      </c>
      <c r="E231" s="315">
        <f>E226+E229+E230</f>
        <v>0</v>
      </c>
      <c r="F231" s="224"/>
      <c r="G231" s="224"/>
      <c r="H231" s="224"/>
      <c r="I231" s="225"/>
      <c r="J231" s="225"/>
      <c r="K231" s="225"/>
      <c r="L231" s="225"/>
      <c r="M231" s="225"/>
      <c r="N231" s="178"/>
      <c r="O231" s="178"/>
      <c r="P231" s="178"/>
      <c r="Q231" s="179"/>
    </row>
    <row r="232" spans="1:17" s="50" customFormat="1" ht="25" customHeight="1">
      <c r="A232" s="358" t="s">
        <v>7</v>
      </c>
      <c r="B232" s="358" t="s">
        <v>222</v>
      </c>
      <c r="C232" s="272"/>
      <c r="D232" s="272"/>
      <c r="E232" s="272"/>
      <c r="F232" s="224"/>
      <c r="G232" s="224"/>
      <c r="H232" s="224"/>
      <c r="I232" s="225"/>
      <c r="J232" s="225"/>
      <c r="K232" s="225"/>
      <c r="L232" s="225"/>
      <c r="M232" s="225"/>
      <c r="N232" s="178"/>
      <c r="O232" s="178"/>
      <c r="P232" s="178"/>
      <c r="Q232" s="179"/>
    </row>
    <row r="233" spans="1:17" s="50" customFormat="1" ht="25" customHeight="1">
      <c r="A233" s="358">
        <v>1</v>
      </c>
      <c r="B233" s="318" t="s">
        <v>223</v>
      </c>
      <c r="C233" s="272"/>
      <c r="D233" s="272"/>
      <c r="E233" s="272"/>
      <c r="F233" s="180">
        <f t="shared" ref="F233:F238" si="31">I233+J233+K233</f>
        <v>0</v>
      </c>
      <c r="G233" s="224">
        <v>60</v>
      </c>
      <c r="H233" s="268">
        <f t="shared" ref="H233:H238" si="32">C233*D233*E233*G233</f>
        <v>0</v>
      </c>
      <c r="I233" s="177">
        <f t="shared" ref="I233:I238" si="33">IF(G233&lt;70, C233*E233*16.5*1, C233*E233*16.5*1.3)</f>
        <v>0</v>
      </c>
      <c r="J233" s="225"/>
      <c r="K233" s="225"/>
      <c r="L233" s="225"/>
      <c r="M233" s="225"/>
      <c r="N233" s="178"/>
      <c r="O233" s="178"/>
      <c r="P233" s="178"/>
      <c r="Q233" s="179"/>
    </row>
    <row r="234" spans="1:17" s="50" customFormat="1" ht="25" customHeight="1">
      <c r="A234" s="358" t="s">
        <v>145</v>
      </c>
      <c r="B234" s="318" t="s">
        <v>161</v>
      </c>
      <c r="C234" s="272"/>
      <c r="D234" s="272"/>
      <c r="E234" s="272"/>
      <c r="F234" s="180">
        <f t="shared" si="31"/>
        <v>0</v>
      </c>
      <c r="G234" s="224">
        <v>60</v>
      </c>
      <c r="H234" s="268">
        <f t="shared" si="32"/>
        <v>0</v>
      </c>
      <c r="I234" s="177">
        <f t="shared" si="33"/>
        <v>0</v>
      </c>
      <c r="J234" s="225"/>
      <c r="K234" s="225"/>
      <c r="L234" s="225"/>
      <c r="M234" s="225"/>
      <c r="N234" s="178"/>
      <c r="O234" s="178"/>
      <c r="P234" s="178"/>
      <c r="Q234" s="179"/>
    </row>
    <row r="235" spans="1:17" s="50" customFormat="1" ht="25" customHeight="1">
      <c r="A235" s="313" t="s">
        <v>224</v>
      </c>
      <c r="B235" s="285" t="s">
        <v>681</v>
      </c>
      <c r="C235" s="272">
        <v>5</v>
      </c>
      <c r="D235" s="272">
        <v>1</v>
      </c>
      <c r="E235" s="272">
        <v>16</v>
      </c>
      <c r="F235" s="180">
        <f t="shared" si="31"/>
        <v>1320</v>
      </c>
      <c r="G235" s="224">
        <v>60</v>
      </c>
      <c r="H235" s="268">
        <f t="shared" si="32"/>
        <v>4800</v>
      </c>
      <c r="I235" s="177">
        <f t="shared" si="33"/>
        <v>1320</v>
      </c>
      <c r="J235" s="225"/>
      <c r="K235" s="225"/>
      <c r="L235" s="225"/>
      <c r="M235" s="225"/>
      <c r="N235" s="178"/>
      <c r="O235" s="178"/>
      <c r="P235" s="178"/>
      <c r="Q235" s="179"/>
    </row>
    <row r="236" spans="1:17" s="50" customFormat="1" ht="25" customHeight="1">
      <c r="A236" s="313" t="s">
        <v>225</v>
      </c>
      <c r="B236" s="285" t="s">
        <v>431</v>
      </c>
      <c r="C236" s="272">
        <v>5</v>
      </c>
      <c r="D236" s="272">
        <v>1</v>
      </c>
      <c r="E236" s="272">
        <v>7</v>
      </c>
      <c r="F236" s="180">
        <f t="shared" si="31"/>
        <v>577.5</v>
      </c>
      <c r="G236" s="224">
        <v>60</v>
      </c>
      <c r="H236" s="268">
        <f t="shared" si="32"/>
        <v>2100</v>
      </c>
      <c r="I236" s="177">
        <f t="shared" si="33"/>
        <v>577.5</v>
      </c>
      <c r="J236" s="225"/>
      <c r="K236" s="225"/>
      <c r="L236" s="225"/>
      <c r="M236" s="225"/>
      <c r="N236" s="178"/>
      <c r="O236" s="178"/>
      <c r="P236" s="178"/>
      <c r="Q236" s="179"/>
    </row>
    <row r="237" spans="1:17" s="50" customFormat="1" ht="25" customHeight="1">
      <c r="A237" s="313" t="s">
        <v>226</v>
      </c>
      <c r="B237" s="285" t="s">
        <v>420</v>
      </c>
      <c r="C237" s="272">
        <v>3</v>
      </c>
      <c r="D237" s="272">
        <v>1</v>
      </c>
      <c r="E237" s="272">
        <v>16</v>
      </c>
      <c r="F237" s="180">
        <f t="shared" si="31"/>
        <v>792</v>
      </c>
      <c r="G237" s="186">
        <v>50</v>
      </c>
      <c r="H237" s="268">
        <f t="shared" si="32"/>
        <v>2400</v>
      </c>
      <c r="I237" s="177">
        <f t="shared" si="33"/>
        <v>792</v>
      </c>
      <c r="J237" s="225"/>
      <c r="K237" s="225"/>
      <c r="L237" s="225"/>
      <c r="M237" s="225"/>
      <c r="N237" s="178"/>
      <c r="O237" s="178"/>
      <c r="P237" s="178"/>
      <c r="Q237" s="179"/>
    </row>
    <row r="238" spans="1:17" s="50" customFormat="1" ht="25" customHeight="1">
      <c r="A238" s="313" t="s">
        <v>227</v>
      </c>
      <c r="B238" s="285" t="s">
        <v>432</v>
      </c>
      <c r="C238" s="272">
        <v>3</v>
      </c>
      <c r="D238" s="272">
        <v>1</v>
      </c>
      <c r="E238" s="272">
        <v>7</v>
      </c>
      <c r="F238" s="180">
        <f t="shared" si="31"/>
        <v>346.5</v>
      </c>
      <c r="G238" s="186">
        <v>50</v>
      </c>
      <c r="H238" s="268">
        <f t="shared" si="32"/>
        <v>1050</v>
      </c>
      <c r="I238" s="177">
        <f t="shared" si="33"/>
        <v>346.5</v>
      </c>
      <c r="J238" s="225"/>
      <c r="K238" s="225"/>
      <c r="L238" s="225"/>
      <c r="M238" s="225"/>
      <c r="N238" s="178"/>
      <c r="O238" s="178"/>
      <c r="P238" s="178"/>
      <c r="Q238" s="179"/>
    </row>
    <row r="239" spans="1:17" s="50" customFormat="1" ht="25" customHeight="1">
      <c r="A239" s="313" t="s">
        <v>228</v>
      </c>
      <c r="B239" s="285" t="s">
        <v>498</v>
      </c>
      <c r="C239" s="276">
        <v>5</v>
      </c>
      <c r="D239" s="276">
        <v>1</v>
      </c>
      <c r="E239" s="276">
        <v>7</v>
      </c>
      <c r="F239" s="200">
        <f>SUM(F233:F238)</f>
        <v>3036</v>
      </c>
      <c r="G239" s="207">
        <f>SUM(G233:G238)</f>
        <v>340</v>
      </c>
      <c r="H239" s="207">
        <f>SUM(H233:H238)</f>
        <v>10350</v>
      </c>
      <c r="I239" s="207">
        <f>SUM(I233:I238)</f>
        <v>3036</v>
      </c>
      <c r="J239" s="178"/>
      <c r="K239" s="178"/>
      <c r="L239" s="178"/>
      <c r="M239" s="178"/>
      <c r="N239" s="178"/>
      <c r="O239" s="178"/>
      <c r="P239" s="178"/>
      <c r="Q239" s="179"/>
    </row>
    <row r="240" spans="1:17" s="50" customFormat="1" ht="25" customHeight="1">
      <c r="A240" s="313" t="s">
        <v>229</v>
      </c>
      <c r="B240" s="285" t="s">
        <v>499</v>
      </c>
      <c r="C240" s="276">
        <v>5</v>
      </c>
      <c r="D240" s="276">
        <v>1</v>
      </c>
      <c r="E240" s="276">
        <v>16</v>
      </c>
      <c r="F240" s="246">
        <f>F211+F223+F229+F239</f>
        <v>5070.45</v>
      </c>
      <c r="G240" s="210">
        <f>G211+G223+G229+G239</f>
        <v>895</v>
      </c>
      <c r="H240" s="210">
        <f>H211+H223+H229+H239</f>
        <v>16230</v>
      </c>
      <c r="I240" s="210">
        <f>I211+I223+I229+I239</f>
        <v>5070.45</v>
      </c>
      <c r="J240" s="229">
        <v>0</v>
      </c>
      <c r="K240" s="230">
        <v>0</v>
      </c>
      <c r="L240" s="191">
        <f>'Bieu3 GDH'!F20</f>
        <v>1080</v>
      </c>
      <c r="M240" s="191">
        <f>'Bieu3 GDH'!N20</f>
        <v>1039.5</v>
      </c>
      <c r="N240" s="187">
        <f>I240-M240</f>
        <v>4030.95</v>
      </c>
      <c r="O240" s="191">
        <f>'Bieu3 GDH'!O20</f>
        <v>805.25</v>
      </c>
      <c r="P240" s="191">
        <f>'Bieu3 GDH'!P20</f>
        <v>370</v>
      </c>
      <c r="Q240" s="192"/>
    </row>
    <row r="241" spans="1:17" s="50" customFormat="1" ht="25" customHeight="1">
      <c r="A241" s="274"/>
      <c r="B241" s="284" t="s">
        <v>375</v>
      </c>
      <c r="C241" s="287">
        <f>SUM(C235:C240)</f>
        <v>26</v>
      </c>
      <c r="D241" s="287">
        <f>SUM(D235:D240)</f>
        <v>6</v>
      </c>
      <c r="E241" s="287">
        <f>SUM(E235:E240)</f>
        <v>69</v>
      </c>
      <c r="F241" s="365"/>
      <c r="G241" s="364"/>
      <c r="H241" s="364"/>
      <c r="I241" s="364"/>
      <c r="J241" s="366"/>
      <c r="K241" s="367"/>
      <c r="L241" s="294"/>
      <c r="M241" s="294"/>
      <c r="N241" s="289"/>
      <c r="O241" s="294"/>
      <c r="P241" s="294"/>
      <c r="Q241" s="295"/>
    </row>
    <row r="242" spans="1:17" s="50" customFormat="1" ht="25" customHeight="1">
      <c r="A242" s="327"/>
      <c r="B242" s="368" t="s">
        <v>434</v>
      </c>
      <c r="C242" s="321">
        <f>C4+C212+C225+C231+C241</f>
        <v>67</v>
      </c>
      <c r="D242" s="321">
        <f>D212+D225+D231+D241</f>
        <v>19</v>
      </c>
      <c r="E242" s="321">
        <f>E212+E225+E231+E241</f>
        <v>120</v>
      </c>
      <c r="F242" s="365"/>
      <c r="G242" s="364"/>
      <c r="H242" s="364"/>
      <c r="I242" s="364"/>
      <c r="J242" s="366"/>
      <c r="K242" s="367"/>
      <c r="L242" s="294"/>
      <c r="M242" s="294"/>
      <c r="N242" s="289"/>
      <c r="O242" s="294"/>
      <c r="P242" s="294"/>
      <c r="Q242" s="295"/>
    </row>
    <row r="243" spans="1:17" s="50" customFormat="1" ht="25" customHeight="1">
      <c r="A243" s="168" t="s">
        <v>5</v>
      </c>
      <c r="B243" s="168" t="s">
        <v>478</v>
      </c>
      <c r="C243" s="169"/>
      <c r="D243" s="169"/>
      <c r="E243" s="169"/>
      <c r="F243" s="244"/>
      <c r="G243" s="169"/>
      <c r="H243" s="169"/>
      <c r="I243" s="169"/>
      <c r="J243" s="169"/>
      <c r="K243" s="211"/>
      <c r="L243" s="212"/>
      <c r="M243" s="213"/>
      <c r="N243" s="213"/>
      <c r="O243" s="213"/>
      <c r="P243" s="213"/>
      <c r="Q243" s="213"/>
    </row>
    <row r="244" spans="1:17" s="50" customFormat="1" ht="25" customHeight="1">
      <c r="A244" s="168" t="s">
        <v>6</v>
      </c>
      <c r="B244" s="168" t="s">
        <v>221</v>
      </c>
      <c r="C244" s="169"/>
      <c r="D244" s="169"/>
      <c r="E244" s="169"/>
      <c r="F244" s="244"/>
      <c r="G244" s="169"/>
      <c r="H244" s="169"/>
      <c r="I244" s="169"/>
      <c r="J244" s="169"/>
      <c r="K244" s="211"/>
      <c r="L244" s="212"/>
      <c r="M244" s="213"/>
      <c r="N244" s="213"/>
      <c r="O244" s="213"/>
      <c r="P244" s="213"/>
      <c r="Q244" s="213"/>
    </row>
    <row r="245" spans="1:17" s="50" customFormat="1" ht="25" customHeight="1">
      <c r="A245" s="168">
        <v>1</v>
      </c>
      <c r="B245" s="168" t="s">
        <v>4</v>
      </c>
      <c r="C245" s="169"/>
      <c r="D245" s="169"/>
      <c r="E245" s="169"/>
      <c r="F245" s="244"/>
      <c r="G245" s="169"/>
      <c r="H245" s="169"/>
      <c r="I245" s="169"/>
      <c r="J245" s="169"/>
      <c r="K245" s="211"/>
      <c r="L245" s="212"/>
      <c r="M245" s="213"/>
      <c r="N245" s="213"/>
      <c r="O245" s="213"/>
      <c r="P245" s="213"/>
      <c r="Q245" s="213"/>
    </row>
    <row r="246" spans="1:17" s="50" customFormat="1" ht="25" customHeight="1">
      <c r="A246" s="170" t="s">
        <v>145</v>
      </c>
      <c r="B246" s="171" t="s">
        <v>159</v>
      </c>
      <c r="C246" s="172"/>
      <c r="D246" s="172"/>
      <c r="E246" s="172"/>
      <c r="F246" s="268"/>
      <c r="G246" s="172"/>
      <c r="H246" s="172"/>
      <c r="I246" s="173"/>
      <c r="J246" s="173"/>
      <c r="K246" s="211"/>
      <c r="L246" s="212"/>
      <c r="M246" s="213"/>
      <c r="N246" s="213"/>
      <c r="O246" s="213"/>
      <c r="P246" s="213"/>
      <c r="Q246" s="213"/>
    </row>
    <row r="247" spans="1:17" s="50" customFormat="1" ht="25" customHeight="1">
      <c r="A247" s="288" t="s">
        <v>224</v>
      </c>
      <c r="B247" s="296" t="s">
        <v>435</v>
      </c>
      <c r="C247" s="272">
        <v>2</v>
      </c>
      <c r="D247" s="297">
        <v>1</v>
      </c>
      <c r="E247" s="272">
        <v>1</v>
      </c>
      <c r="F247" s="180">
        <f t="shared" ref="F247:F272" si="34">I247+J247+K247</f>
        <v>33</v>
      </c>
      <c r="G247" s="268">
        <v>40</v>
      </c>
      <c r="H247" s="268">
        <f t="shared" ref="H247:H271" si="35">C247*D247*E247*G247</f>
        <v>80</v>
      </c>
      <c r="I247" s="177">
        <f t="shared" ref="I247:I272" si="36">IF(G247&lt;70, C247*E247*16.5*1, C247*E247*16.5*1.3)</f>
        <v>33</v>
      </c>
      <c r="J247" s="173"/>
      <c r="K247" s="211"/>
      <c r="L247" s="212"/>
      <c r="M247" s="213"/>
      <c r="N247" s="213"/>
      <c r="O247" s="213"/>
      <c r="P247" s="213"/>
      <c r="Q247" s="213"/>
    </row>
    <row r="248" spans="1:17" s="50" customFormat="1" ht="25" customHeight="1">
      <c r="A248" s="288" t="s">
        <v>225</v>
      </c>
      <c r="B248" s="323" t="s">
        <v>436</v>
      </c>
      <c r="C248" s="272">
        <v>3</v>
      </c>
      <c r="D248" s="272">
        <v>1</v>
      </c>
      <c r="E248" s="272">
        <v>1</v>
      </c>
      <c r="F248" s="180">
        <f t="shared" si="34"/>
        <v>49.5</v>
      </c>
      <c r="G248" s="268">
        <v>20</v>
      </c>
      <c r="H248" s="268">
        <f t="shared" si="35"/>
        <v>60</v>
      </c>
      <c r="I248" s="177">
        <f t="shared" si="36"/>
        <v>49.5</v>
      </c>
      <c r="J248" s="173"/>
      <c r="K248" s="211"/>
      <c r="L248" s="212"/>
      <c r="M248" s="213"/>
      <c r="N248" s="213"/>
      <c r="O248" s="213"/>
      <c r="P248" s="213"/>
      <c r="Q248" s="213"/>
    </row>
    <row r="249" spans="1:17" s="50" customFormat="1" ht="25" customHeight="1">
      <c r="A249" s="288" t="s">
        <v>226</v>
      </c>
      <c r="B249" s="270" t="s">
        <v>437</v>
      </c>
      <c r="C249" s="272">
        <v>2</v>
      </c>
      <c r="D249" s="272">
        <v>1</v>
      </c>
      <c r="E249" s="272">
        <v>3</v>
      </c>
      <c r="F249" s="180">
        <f t="shared" si="34"/>
        <v>128.70000000000002</v>
      </c>
      <c r="G249" s="268">
        <v>80</v>
      </c>
      <c r="H249" s="268">
        <f t="shared" si="35"/>
        <v>480</v>
      </c>
      <c r="I249" s="177">
        <f t="shared" si="36"/>
        <v>128.70000000000002</v>
      </c>
      <c r="J249" s="178"/>
      <c r="K249" s="211"/>
      <c r="L249" s="212"/>
      <c r="M249" s="213"/>
      <c r="N249" s="213"/>
      <c r="O249" s="213"/>
      <c r="P249" s="213"/>
      <c r="Q249" s="213"/>
    </row>
    <row r="250" spans="1:17" s="50" customFormat="1" ht="25" customHeight="1">
      <c r="A250" s="288" t="s">
        <v>227</v>
      </c>
      <c r="B250" s="296" t="s">
        <v>438</v>
      </c>
      <c r="C250" s="272">
        <v>3</v>
      </c>
      <c r="D250" s="272">
        <v>1</v>
      </c>
      <c r="E250" s="272">
        <v>1</v>
      </c>
      <c r="F250" s="180">
        <f t="shared" si="34"/>
        <v>64.350000000000009</v>
      </c>
      <c r="G250" s="268">
        <v>80</v>
      </c>
      <c r="H250" s="268">
        <f t="shared" si="35"/>
        <v>240</v>
      </c>
      <c r="I250" s="177">
        <f t="shared" si="36"/>
        <v>64.350000000000009</v>
      </c>
      <c r="J250" s="173"/>
      <c r="K250" s="211"/>
      <c r="L250" s="212"/>
      <c r="M250" s="213"/>
      <c r="N250" s="213"/>
      <c r="O250" s="213"/>
      <c r="P250" s="213"/>
      <c r="Q250" s="213"/>
    </row>
    <row r="251" spans="1:17" s="50" customFormat="1" ht="25" customHeight="1">
      <c r="A251" s="288" t="s">
        <v>228</v>
      </c>
      <c r="B251" s="270" t="s">
        <v>437</v>
      </c>
      <c r="C251" s="272">
        <v>2</v>
      </c>
      <c r="D251" s="272">
        <v>1</v>
      </c>
      <c r="E251" s="272">
        <v>2</v>
      </c>
      <c r="F251" s="180">
        <f t="shared" si="34"/>
        <v>85.8</v>
      </c>
      <c r="G251" s="268">
        <v>80</v>
      </c>
      <c r="H251" s="268">
        <f t="shared" si="35"/>
        <v>320</v>
      </c>
      <c r="I251" s="177">
        <f t="shared" si="36"/>
        <v>85.8</v>
      </c>
      <c r="J251" s="173"/>
      <c r="K251" s="211"/>
      <c r="L251" s="212"/>
      <c r="M251" s="213"/>
      <c r="N251" s="213"/>
      <c r="O251" s="213"/>
      <c r="P251" s="213"/>
      <c r="Q251" s="213"/>
    </row>
    <row r="252" spans="1:17" s="50" customFormat="1" ht="25" customHeight="1">
      <c r="A252" s="288" t="s">
        <v>229</v>
      </c>
      <c r="B252" s="296" t="s">
        <v>435</v>
      </c>
      <c r="C252" s="272">
        <v>2</v>
      </c>
      <c r="D252" s="272">
        <v>1</v>
      </c>
      <c r="E252" s="272">
        <v>1</v>
      </c>
      <c r="F252" s="180">
        <f t="shared" si="34"/>
        <v>42.9</v>
      </c>
      <c r="G252" s="268">
        <v>80</v>
      </c>
      <c r="H252" s="268">
        <f t="shared" si="35"/>
        <v>160</v>
      </c>
      <c r="I252" s="177">
        <f t="shared" si="36"/>
        <v>42.9</v>
      </c>
      <c r="J252" s="173"/>
      <c r="K252" s="211"/>
      <c r="L252" s="212"/>
      <c r="M252" s="213"/>
      <c r="N252" s="213"/>
      <c r="O252" s="213"/>
      <c r="P252" s="213"/>
      <c r="Q252" s="213"/>
    </row>
    <row r="253" spans="1:17" s="50" customFormat="1" ht="25" customHeight="1">
      <c r="A253" s="288" t="s">
        <v>280</v>
      </c>
      <c r="B253" s="285" t="s">
        <v>439</v>
      </c>
      <c r="C253" s="271">
        <v>3</v>
      </c>
      <c r="D253" s="297">
        <v>1</v>
      </c>
      <c r="E253" s="271">
        <v>1</v>
      </c>
      <c r="F253" s="180">
        <f t="shared" si="34"/>
        <v>49.5</v>
      </c>
      <c r="G253" s="177">
        <v>40</v>
      </c>
      <c r="H253" s="268">
        <f t="shared" si="35"/>
        <v>120</v>
      </c>
      <c r="I253" s="177">
        <f t="shared" si="36"/>
        <v>49.5</v>
      </c>
      <c r="J253" s="173"/>
      <c r="K253" s="211"/>
      <c r="L253" s="212"/>
      <c r="M253" s="213"/>
      <c r="N253" s="213"/>
      <c r="O253" s="213"/>
      <c r="P253" s="213"/>
      <c r="Q253" s="213"/>
    </row>
    <row r="254" spans="1:17" s="50" customFormat="1" ht="25" customHeight="1">
      <c r="A254" s="288" t="s">
        <v>281</v>
      </c>
      <c r="B254" s="285" t="s">
        <v>440</v>
      </c>
      <c r="C254" s="271">
        <v>2</v>
      </c>
      <c r="D254" s="297">
        <v>1</v>
      </c>
      <c r="E254" s="271">
        <v>1</v>
      </c>
      <c r="F254" s="180">
        <f t="shared" si="34"/>
        <v>33</v>
      </c>
      <c r="G254" s="177">
        <v>40</v>
      </c>
      <c r="H254" s="268">
        <f t="shared" si="35"/>
        <v>80</v>
      </c>
      <c r="I254" s="177">
        <f t="shared" si="36"/>
        <v>33</v>
      </c>
      <c r="J254" s="173"/>
      <c r="K254" s="211"/>
      <c r="L254" s="212"/>
      <c r="M254" s="213"/>
      <c r="N254" s="213"/>
      <c r="O254" s="213"/>
      <c r="P254" s="213"/>
      <c r="Q254" s="213"/>
    </row>
    <row r="255" spans="1:17" s="50" customFormat="1" ht="25" customHeight="1">
      <c r="A255" s="288" t="s">
        <v>282</v>
      </c>
      <c r="B255" s="285" t="s">
        <v>441</v>
      </c>
      <c r="C255" s="271">
        <v>3</v>
      </c>
      <c r="D255" s="297">
        <v>1</v>
      </c>
      <c r="E255" s="271">
        <v>1</v>
      </c>
      <c r="F255" s="180">
        <f t="shared" si="34"/>
        <v>49.5</v>
      </c>
      <c r="G255" s="177">
        <v>30</v>
      </c>
      <c r="H255" s="268">
        <f t="shared" si="35"/>
        <v>90</v>
      </c>
      <c r="I255" s="177">
        <f t="shared" si="36"/>
        <v>49.5</v>
      </c>
      <c r="J255" s="173"/>
      <c r="K255" s="211"/>
      <c r="L255" s="212"/>
      <c r="M255" s="213"/>
      <c r="N255" s="213"/>
      <c r="O255" s="213"/>
      <c r="P255" s="213"/>
      <c r="Q255" s="213"/>
    </row>
    <row r="256" spans="1:17" s="50" customFormat="1" ht="25" customHeight="1">
      <c r="A256" s="288" t="s">
        <v>283</v>
      </c>
      <c r="B256" s="285" t="s">
        <v>442</v>
      </c>
      <c r="C256" s="271">
        <v>4</v>
      </c>
      <c r="D256" s="297">
        <v>1</v>
      </c>
      <c r="E256" s="271">
        <v>1</v>
      </c>
      <c r="F256" s="180">
        <f t="shared" si="34"/>
        <v>66</v>
      </c>
      <c r="G256" s="177">
        <v>30</v>
      </c>
      <c r="H256" s="268">
        <f t="shared" si="35"/>
        <v>120</v>
      </c>
      <c r="I256" s="177">
        <f t="shared" si="36"/>
        <v>66</v>
      </c>
      <c r="J256" s="173"/>
      <c r="K256" s="211"/>
      <c r="L256" s="212"/>
      <c r="M256" s="213"/>
      <c r="N256" s="213"/>
      <c r="O256" s="213"/>
      <c r="P256" s="213"/>
      <c r="Q256" s="213"/>
    </row>
    <row r="257" spans="1:17" s="50" customFormat="1" ht="25" customHeight="1">
      <c r="A257" s="288" t="s">
        <v>284</v>
      </c>
      <c r="B257" s="296" t="s">
        <v>435</v>
      </c>
      <c r="C257" s="271">
        <v>2</v>
      </c>
      <c r="D257" s="297">
        <v>1</v>
      </c>
      <c r="E257" s="271">
        <v>1</v>
      </c>
      <c r="F257" s="180">
        <f t="shared" si="34"/>
        <v>42.9</v>
      </c>
      <c r="G257" s="177">
        <v>80</v>
      </c>
      <c r="H257" s="268">
        <f t="shared" si="35"/>
        <v>160</v>
      </c>
      <c r="I257" s="177">
        <f t="shared" si="36"/>
        <v>42.9</v>
      </c>
      <c r="J257" s="173"/>
      <c r="K257" s="211"/>
      <c r="L257" s="212"/>
      <c r="M257" s="213"/>
      <c r="N257" s="213"/>
      <c r="O257" s="213"/>
      <c r="P257" s="213"/>
      <c r="Q257" s="213"/>
    </row>
    <row r="258" spans="1:17" s="50" customFormat="1" ht="25" customHeight="1">
      <c r="A258" s="288" t="s">
        <v>287</v>
      </c>
      <c r="B258" s="270" t="s">
        <v>437</v>
      </c>
      <c r="C258" s="272">
        <v>2</v>
      </c>
      <c r="D258" s="272">
        <v>1</v>
      </c>
      <c r="E258" s="271">
        <v>1</v>
      </c>
      <c r="F258" s="180">
        <f t="shared" si="34"/>
        <v>42.9</v>
      </c>
      <c r="G258" s="268">
        <v>80</v>
      </c>
      <c r="H258" s="268">
        <f t="shared" si="35"/>
        <v>160</v>
      </c>
      <c r="I258" s="177">
        <f t="shared" si="36"/>
        <v>42.9</v>
      </c>
      <c r="J258" s="173"/>
      <c r="K258" s="211"/>
      <c r="L258" s="212"/>
      <c r="M258" s="213"/>
      <c r="N258" s="213"/>
      <c r="O258" s="213"/>
      <c r="P258" s="213"/>
      <c r="Q258" s="213"/>
    </row>
    <row r="259" spans="1:17" s="50" customFormat="1" ht="25" customHeight="1">
      <c r="A259" s="288" t="s">
        <v>288</v>
      </c>
      <c r="B259" s="285" t="s">
        <v>443</v>
      </c>
      <c r="C259" s="272">
        <v>4</v>
      </c>
      <c r="D259" s="272">
        <v>1</v>
      </c>
      <c r="E259" s="272">
        <v>1</v>
      </c>
      <c r="F259" s="180">
        <f t="shared" si="34"/>
        <v>66</v>
      </c>
      <c r="G259" s="268">
        <v>30</v>
      </c>
      <c r="H259" s="268">
        <f t="shared" si="35"/>
        <v>120</v>
      </c>
      <c r="I259" s="177">
        <f t="shared" si="36"/>
        <v>66</v>
      </c>
      <c r="J259" s="173"/>
      <c r="K259" s="211"/>
      <c r="L259" s="212"/>
      <c r="M259" s="213"/>
      <c r="N259" s="213"/>
      <c r="O259" s="213"/>
      <c r="P259" s="213"/>
      <c r="Q259" s="213"/>
    </row>
    <row r="260" spans="1:17" s="50" customFormat="1" ht="25" customHeight="1">
      <c r="A260" s="288" t="s">
        <v>289</v>
      </c>
      <c r="B260" s="285" t="s">
        <v>444</v>
      </c>
      <c r="C260" s="324">
        <v>4</v>
      </c>
      <c r="D260" s="301">
        <v>1</v>
      </c>
      <c r="E260" s="301">
        <v>1</v>
      </c>
      <c r="F260" s="180">
        <f t="shared" si="34"/>
        <v>66</v>
      </c>
      <c r="G260" s="251">
        <v>40</v>
      </c>
      <c r="H260" s="268">
        <f t="shared" si="35"/>
        <v>160</v>
      </c>
      <c r="I260" s="177">
        <f t="shared" si="36"/>
        <v>66</v>
      </c>
      <c r="J260" s="173"/>
      <c r="K260" s="211"/>
      <c r="L260" s="212"/>
      <c r="M260" s="213"/>
      <c r="N260" s="213"/>
      <c r="O260" s="213"/>
      <c r="P260" s="213"/>
      <c r="Q260" s="213"/>
    </row>
    <row r="261" spans="1:17" s="50" customFormat="1" ht="25" customHeight="1">
      <c r="A261" s="288" t="s">
        <v>290</v>
      </c>
      <c r="B261" s="296" t="s">
        <v>435</v>
      </c>
      <c r="C261" s="324">
        <v>2</v>
      </c>
      <c r="D261" s="301">
        <v>1</v>
      </c>
      <c r="E261" s="301">
        <v>1</v>
      </c>
      <c r="F261" s="180">
        <f t="shared" si="34"/>
        <v>42.9</v>
      </c>
      <c r="G261" s="251">
        <v>89</v>
      </c>
      <c r="H261" s="268">
        <f t="shared" si="35"/>
        <v>178</v>
      </c>
      <c r="I261" s="177">
        <f t="shared" si="36"/>
        <v>42.9</v>
      </c>
      <c r="J261" s="173"/>
      <c r="K261" s="211"/>
      <c r="L261" s="212"/>
      <c r="M261" s="213"/>
      <c r="N261" s="213"/>
      <c r="O261" s="213"/>
      <c r="P261" s="213"/>
      <c r="Q261" s="213"/>
    </row>
    <row r="262" spans="1:17" s="50" customFormat="1" ht="25" customHeight="1">
      <c r="A262" s="288" t="s">
        <v>389</v>
      </c>
      <c r="B262" s="285" t="s">
        <v>445</v>
      </c>
      <c r="C262" s="324">
        <v>3</v>
      </c>
      <c r="D262" s="301">
        <v>1</v>
      </c>
      <c r="E262" s="301">
        <v>1</v>
      </c>
      <c r="F262" s="180">
        <f t="shared" si="34"/>
        <v>49.5</v>
      </c>
      <c r="G262" s="251">
        <v>40</v>
      </c>
      <c r="H262" s="268">
        <f t="shared" si="35"/>
        <v>120</v>
      </c>
      <c r="I262" s="177">
        <f t="shared" si="36"/>
        <v>49.5</v>
      </c>
      <c r="J262" s="178"/>
      <c r="K262" s="211"/>
      <c r="L262" s="212"/>
      <c r="M262" s="213"/>
      <c r="N262" s="213"/>
      <c r="O262" s="213"/>
      <c r="P262" s="213"/>
      <c r="Q262" s="213"/>
    </row>
    <row r="263" spans="1:17" s="50" customFormat="1" ht="25" customHeight="1">
      <c r="A263" s="288" t="s">
        <v>390</v>
      </c>
      <c r="B263" s="270" t="s">
        <v>437</v>
      </c>
      <c r="C263" s="272">
        <v>2</v>
      </c>
      <c r="D263" s="272">
        <v>1</v>
      </c>
      <c r="E263" s="272">
        <v>1</v>
      </c>
      <c r="F263" s="180">
        <f t="shared" si="34"/>
        <v>42.9</v>
      </c>
      <c r="G263" s="268">
        <v>80</v>
      </c>
      <c r="H263" s="268">
        <f t="shared" si="35"/>
        <v>160</v>
      </c>
      <c r="I263" s="177">
        <f t="shared" si="36"/>
        <v>42.9</v>
      </c>
      <c r="J263" s="178"/>
      <c r="K263" s="211"/>
      <c r="L263" s="212"/>
      <c r="M263" s="213"/>
      <c r="N263" s="213"/>
      <c r="O263" s="213"/>
      <c r="P263" s="213"/>
      <c r="Q263" s="213"/>
    </row>
    <row r="264" spans="1:17" s="50" customFormat="1" ht="25" customHeight="1">
      <c r="A264" s="288" t="s">
        <v>391</v>
      </c>
      <c r="B264" s="325" t="s">
        <v>446</v>
      </c>
      <c r="C264" s="272">
        <v>2</v>
      </c>
      <c r="D264" s="272">
        <v>1</v>
      </c>
      <c r="E264" s="272">
        <v>1</v>
      </c>
      <c r="F264" s="180">
        <f t="shared" si="34"/>
        <v>33</v>
      </c>
      <c r="G264" s="268">
        <v>40</v>
      </c>
      <c r="H264" s="268">
        <f t="shared" si="35"/>
        <v>80</v>
      </c>
      <c r="I264" s="177">
        <f t="shared" si="36"/>
        <v>33</v>
      </c>
      <c r="J264" s="178"/>
      <c r="K264" s="211"/>
      <c r="L264" s="212"/>
      <c r="M264" s="213"/>
      <c r="N264" s="213"/>
      <c r="O264" s="213"/>
      <c r="P264" s="213"/>
      <c r="Q264" s="213"/>
    </row>
    <row r="265" spans="1:17" s="50" customFormat="1" ht="25" customHeight="1">
      <c r="A265" s="288" t="s">
        <v>392</v>
      </c>
      <c r="B265" s="285" t="s">
        <v>447</v>
      </c>
      <c r="C265" s="272">
        <v>3</v>
      </c>
      <c r="D265" s="272">
        <v>1</v>
      </c>
      <c r="E265" s="272">
        <v>1</v>
      </c>
      <c r="F265" s="180">
        <f t="shared" si="34"/>
        <v>49.5</v>
      </c>
      <c r="G265" s="268">
        <v>40</v>
      </c>
      <c r="H265" s="268">
        <f t="shared" si="35"/>
        <v>120</v>
      </c>
      <c r="I265" s="177">
        <f t="shared" si="36"/>
        <v>49.5</v>
      </c>
      <c r="J265" s="178"/>
      <c r="K265" s="211"/>
      <c r="L265" s="212"/>
      <c r="M265" s="213"/>
      <c r="N265" s="213"/>
      <c r="O265" s="213"/>
      <c r="P265" s="213"/>
      <c r="Q265" s="213"/>
    </row>
    <row r="266" spans="1:17" s="50" customFormat="1" ht="25" customHeight="1">
      <c r="A266" s="288" t="s">
        <v>393</v>
      </c>
      <c r="B266" s="285" t="s">
        <v>448</v>
      </c>
      <c r="C266" s="272">
        <v>2</v>
      </c>
      <c r="D266" s="272">
        <v>1</v>
      </c>
      <c r="E266" s="272">
        <v>1</v>
      </c>
      <c r="F266" s="180">
        <f t="shared" si="34"/>
        <v>42.9</v>
      </c>
      <c r="G266" s="268">
        <v>80</v>
      </c>
      <c r="H266" s="268">
        <f t="shared" si="35"/>
        <v>160</v>
      </c>
      <c r="I266" s="177">
        <f t="shared" si="36"/>
        <v>42.9</v>
      </c>
      <c r="J266" s="178"/>
      <c r="K266" s="211"/>
      <c r="L266" s="212"/>
      <c r="M266" s="213"/>
      <c r="N266" s="213"/>
      <c r="O266" s="213"/>
      <c r="P266" s="213"/>
      <c r="Q266" s="213"/>
    </row>
    <row r="267" spans="1:17" s="50" customFormat="1" ht="25" customHeight="1">
      <c r="A267" s="288" t="s">
        <v>394</v>
      </c>
      <c r="B267" s="285" t="s">
        <v>440</v>
      </c>
      <c r="C267" s="271">
        <v>2</v>
      </c>
      <c r="D267" s="302">
        <v>1</v>
      </c>
      <c r="E267" s="302">
        <v>1</v>
      </c>
      <c r="F267" s="180">
        <f t="shared" si="34"/>
        <v>33</v>
      </c>
      <c r="G267" s="181">
        <v>40</v>
      </c>
      <c r="H267" s="268">
        <f t="shared" si="35"/>
        <v>80</v>
      </c>
      <c r="I267" s="177">
        <f t="shared" si="36"/>
        <v>33</v>
      </c>
      <c r="J267" s="178"/>
      <c r="K267" s="211"/>
      <c r="L267" s="212"/>
      <c r="M267" s="213"/>
      <c r="N267" s="213"/>
      <c r="O267" s="213"/>
      <c r="P267" s="213"/>
      <c r="Q267" s="213"/>
    </row>
    <row r="268" spans="1:17" s="50" customFormat="1" ht="25" customHeight="1">
      <c r="A268" s="288" t="s">
        <v>395</v>
      </c>
      <c r="B268" s="285" t="s">
        <v>448</v>
      </c>
      <c r="C268" s="272">
        <v>2</v>
      </c>
      <c r="D268" s="272">
        <v>1.3</v>
      </c>
      <c r="E268" s="272">
        <v>1</v>
      </c>
      <c r="F268" s="180">
        <f t="shared" si="34"/>
        <v>33</v>
      </c>
      <c r="G268" s="268">
        <v>40</v>
      </c>
      <c r="H268" s="268">
        <f t="shared" si="35"/>
        <v>104</v>
      </c>
      <c r="I268" s="177">
        <f t="shared" si="36"/>
        <v>33</v>
      </c>
      <c r="J268" s="178"/>
      <c r="K268" s="211"/>
      <c r="L268" s="212"/>
      <c r="M268" s="213"/>
      <c r="N268" s="213"/>
      <c r="O268" s="213"/>
      <c r="P268" s="213"/>
      <c r="Q268" s="213"/>
    </row>
    <row r="269" spans="1:17" s="50" customFormat="1" ht="25" customHeight="1">
      <c r="A269" s="288" t="s">
        <v>396</v>
      </c>
      <c r="B269" s="285" t="s">
        <v>449</v>
      </c>
      <c r="C269" s="272">
        <v>4</v>
      </c>
      <c r="D269" s="272">
        <v>1</v>
      </c>
      <c r="E269" s="272">
        <v>1</v>
      </c>
      <c r="F269" s="180">
        <f t="shared" si="34"/>
        <v>66</v>
      </c>
      <c r="G269" s="268">
        <v>40</v>
      </c>
      <c r="H269" s="268">
        <f t="shared" si="35"/>
        <v>160</v>
      </c>
      <c r="I269" s="177">
        <f t="shared" si="36"/>
        <v>66</v>
      </c>
      <c r="J269" s="178"/>
      <c r="K269" s="211"/>
      <c r="L269" s="212"/>
      <c r="M269" s="213"/>
      <c r="N269" s="213"/>
      <c r="O269" s="213"/>
      <c r="P269" s="213"/>
      <c r="Q269" s="213"/>
    </row>
    <row r="270" spans="1:17" s="50" customFormat="1" ht="25" customHeight="1">
      <c r="A270" s="288" t="s">
        <v>397</v>
      </c>
      <c r="B270" s="285" t="s">
        <v>450</v>
      </c>
      <c r="C270" s="272">
        <v>4</v>
      </c>
      <c r="D270" s="272">
        <v>1</v>
      </c>
      <c r="E270" s="272">
        <v>1</v>
      </c>
      <c r="F270" s="180">
        <f t="shared" si="34"/>
        <v>66</v>
      </c>
      <c r="G270" s="268">
        <v>40</v>
      </c>
      <c r="H270" s="268">
        <f t="shared" si="35"/>
        <v>160</v>
      </c>
      <c r="I270" s="177">
        <f t="shared" si="36"/>
        <v>66</v>
      </c>
      <c r="J270" s="178"/>
      <c r="K270" s="211"/>
      <c r="L270" s="212"/>
      <c r="M270" s="213"/>
      <c r="N270" s="213"/>
      <c r="O270" s="213"/>
      <c r="P270" s="213"/>
      <c r="Q270" s="213"/>
    </row>
    <row r="271" spans="1:17" s="50" customFormat="1" ht="25" customHeight="1">
      <c r="A271" s="288" t="s">
        <v>398</v>
      </c>
      <c r="B271" s="285" t="s">
        <v>451</v>
      </c>
      <c r="C271" s="272">
        <v>3</v>
      </c>
      <c r="D271" s="272">
        <v>1</v>
      </c>
      <c r="E271" s="272">
        <v>1</v>
      </c>
      <c r="F271" s="180">
        <f t="shared" si="34"/>
        <v>49.5</v>
      </c>
      <c r="G271" s="268">
        <v>40</v>
      </c>
      <c r="H271" s="268">
        <f t="shared" si="35"/>
        <v>120</v>
      </c>
      <c r="I271" s="177">
        <f t="shared" si="36"/>
        <v>49.5</v>
      </c>
      <c r="J271" s="178"/>
      <c r="K271" s="211"/>
      <c r="L271" s="212"/>
      <c r="M271" s="213"/>
      <c r="N271" s="213"/>
      <c r="O271" s="213"/>
      <c r="P271" s="213"/>
      <c r="Q271" s="213"/>
    </row>
    <row r="272" spans="1:17" s="50" customFormat="1" ht="25" customHeight="1">
      <c r="A272" s="288" t="s">
        <v>399</v>
      </c>
      <c r="B272" s="285" t="s">
        <v>452</v>
      </c>
      <c r="C272" s="272">
        <v>1</v>
      </c>
      <c r="D272" s="272">
        <v>1.3</v>
      </c>
      <c r="E272" s="272">
        <v>1</v>
      </c>
      <c r="F272" s="180">
        <f t="shared" si="34"/>
        <v>16.5</v>
      </c>
      <c r="G272" s="268">
        <v>40</v>
      </c>
      <c r="H272" s="268">
        <f>C272*D272*E272*G272</f>
        <v>52</v>
      </c>
      <c r="I272" s="177">
        <f t="shared" si="36"/>
        <v>16.5</v>
      </c>
      <c r="J272" s="178"/>
      <c r="K272" s="211"/>
      <c r="L272" s="212"/>
      <c r="M272" s="213"/>
      <c r="N272" s="213"/>
      <c r="O272" s="213"/>
      <c r="P272" s="213"/>
      <c r="Q272" s="213"/>
    </row>
    <row r="273" spans="1:17" s="50" customFormat="1" ht="25" customHeight="1">
      <c r="A273" s="269"/>
      <c r="B273" s="326" t="s">
        <v>375</v>
      </c>
      <c r="C273" s="271">
        <f>SUM(C247:C272)</f>
        <v>68</v>
      </c>
      <c r="D273" s="271">
        <f t="shared" ref="D273:I273" si="37">SUM(D247:D272)</f>
        <v>26.6</v>
      </c>
      <c r="E273" s="271">
        <f t="shared" si="37"/>
        <v>29</v>
      </c>
      <c r="F273" s="196">
        <f t="shared" si="37"/>
        <v>1344.75</v>
      </c>
      <c r="G273" s="196">
        <f t="shared" si="37"/>
        <v>1359</v>
      </c>
      <c r="H273" s="196">
        <f t="shared" si="37"/>
        <v>3844</v>
      </c>
      <c r="I273" s="196">
        <f t="shared" si="37"/>
        <v>1344.75</v>
      </c>
      <c r="J273" s="178"/>
      <c r="K273" s="211"/>
      <c r="L273" s="212"/>
      <c r="M273" s="213"/>
      <c r="N273" s="213"/>
      <c r="O273" s="213"/>
      <c r="P273" s="213"/>
      <c r="Q273" s="213"/>
    </row>
    <row r="274" spans="1:17" s="50" customFormat="1" ht="25" customHeight="1">
      <c r="A274" s="311" t="s">
        <v>146</v>
      </c>
      <c r="B274" s="312" t="s">
        <v>149</v>
      </c>
      <c r="C274" s="272"/>
      <c r="D274" s="272"/>
      <c r="E274" s="272"/>
      <c r="F274" s="268"/>
      <c r="G274" s="268"/>
      <c r="H274" s="268"/>
      <c r="I274" s="178"/>
      <c r="J274" s="178"/>
      <c r="K274" s="211"/>
      <c r="L274" s="212"/>
      <c r="M274" s="213"/>
      <c r="N274" s="213"/>
      <c r="O274" s="213"/>
      <c r="P274" s="213"/>
      <c r="Q274" s="213"/>
    </row>
    <row r="275" spans="1:17" s="50" customFormat="1" ht="25" customHeight="1">
      <c r="A275" s="313" t="s">
        <v>230</v>
      </c>
      <c r="B275" s="269" t="s">
        <v>152</v>
      </c>
      <c r="C275" s="272"/>
      <c r="D275" s="272"/>
      <c r="E275" s="272"/>
      <c r="F275" s="268"/>
      <c r="G275" s="268"/>
      <c r="H275" s="268"/>
      <c r="I275" s="178"/>
      <c r="J275" s="178"/>
      <c r="K275" s="211"/>
      <c r="L275" s="212"/>
      <c r="M275" s="213"/>
      <c r="N275" s="213"/>
      <c r="O275" s="213"/>
      <c r="P275" s="213"/>
      <c r="Q275" s="213"/>
    </row>
    <row r="276" spans="1:17" s="50" customFormat="1" ht="25" customHeight="1">
      <c r="A276" s="313" t="s">
        <v>231</v>
      </c>
      <c r="B276" s="269" t="s">
        <v>151</v>
      </c>
      <c r="C276" s="272"/>
      <c r="D276" s="272"/>
      <c r="E276" s="272"/>
      <c r="F276" s="268"/>
      <c r="G276" s="268"/>
      <c r="H276" s="268"/>
      <c r="I276" s="178"/>
      <c r="J276" s="178"/>
      <c r="K276" s="211"/>
      <c r="L276" s="212"/>
      <c r="M276" s="213"/>
      <c r="N276" s="213"/>
      <c r="O276" s="213"/>
      <c r="P276" s="213"/>
      <c r="Q276" s="213"/>
    </row>
    <row r="277" spans="1:17" s="50" customFormat="1" ht="25" customHeight="1">
      <c r="A277" s="327" t="s">
        <v>232</v>
      </c>
      <c r="B277" s="328" t="s">
        <v>153</v>
      </c>
      <c r="C277" s="329">
        <v>5</v>
      </c>
      <c r="D277" s="329" t="s">
        <v>649</v>
      </c>
      <c r="E277" s="329">
        <v>21</v>
      </c>
      <c r="F277" s="268"/>
      <c r="G277" s="268"/>
      <c r="H277" s="268"/>
      <c r="I277" s="178"/>
      <c r="J277" s="178"/>
      <c r="K277" s="211"/>
      <c r="L277" s="212"/>
      <c r="M277" s="213"/>
      <c r="N277" s="213"/>
      <c r="O277" s="213"/>
      <c r="P277" s="213"/>
      <c r="Q277" s="213"/>
    </row>
    <row r="278" spans="1:17" s="50" customFormat="1" ht="25" customHeight="1">
      <c r="A278" s="327" t="s">
        <v>233</v>
      </c>
      <c r="B278" s="328" t="s">
        <v>154</v>
      </c>
      <c r="C278" s="329">
        <v>5</v>
      </c>
      <c r="D278" s="329" t="s">
        <v>649</v>
      </c>
      <c r="E278" s="329">
        <v>21</v>
      </c>
      <c r="F278" s="268"/>
      <c r="G278" s="268"/>
      <c r="H278" s="268"/>
      <c r="I278" s="178"/>
      <c r="J278" s="178"/>
      <c r="K278" s="211"/>
      <c r="L278" s="212"/>
      <c r="M278" s="213"/>
      <c r="N278" s="213"/>
      <c r="O278" s="213"/>
      <c r="P278" s="213"/>
      <c r="Q278" s="213"/>
    </row>
    <row r="279" spans="1:17" s="50" customFormat="1" ht="25" customHeight="1">
      <c r="A279" s="313" t="s">
        <v>234</v>
      </c>
      <c r="B279" s="269" t="s">
        <v>155</v>
      </c>
      <c r="C279" s="272"/>
      <c r="D279" s="272"/>
      <c r="E279" s="272"/>
      <c r="F279" s="268"/>
      <c r="G279" s="268"/>
      <c r="H279" s="268"/>
      <c r="I279" s="178"/>
      <c r="J279" s="178"/>
      <c r="K279" s="211"/>
      <c r="L279" s="212"/>
      <c r="M279" s="213"/>
      <c r="N279" s="213"/>
      <c r="O279" s="213"/>
      <c r="P279" s="213"/>
      <c r="Q279" s="213"/>
    </row>
    <row r="280" spans="1:17" s="50" customFormat="1" ht="25" customHeight="1">
      <c r="A280" s="316">
        <v>2</v>
      </c>
      <c r="B280" s="316" t="s">
        <v>162</v>
      </c>
      <c r="C280" s="272"/>
      <c r="D280" s="272"/>
      <c r="E280" s="272"/>
      <c r="F280" s="268"/>
      <c r="G280" s="268"/>
      <c r="H280" s="268"/>
      <c r="I280" s="178"/>
      <c r="J280" s="178"/>
      <c r="K280" s="211"/>
      <c r="L280" s="212"/>
      <c r="M280" s="213"/>
      <c r="N280" s="213"/>
      <c r="O280" s="213"/>
      <c r="P280" s="213"/>
      <c r="Q280" s="213"/>
    </row>
    <row r="281" spans="1:17" s="50" customFormat="1" ht="25" customHeight="1">
      <c r="A281" s="317" t="s">
        <v>145</v>
      </c>
      <c r="B281" s="318" t="s">
        <v>163</v>
      </c>
      <c r="C281" s="272"/>
      <c r="D281" s="272"/>
      <c r="E281" s="272"/>
      <c r="F281" s="268"/>
      <c r="G281" s="268"/>
      <c r="H281" s="268"/>
      <c r="I281" s="178"/>
      <c r="J281" s="178"/>
      <c r="K281" s="211"/>
      <c r="L281" s="212"/>
      <c r="M281" s="213"/>
      <c r="N281" s="213"/>
      <c r="O281" s="213"/>
      <c r="P281" s="213"/>
      <c r="Q281" s="213"/>
    </row>
    <row r="282" spans="1:17" s="50" customFormat="1" ht="25" customHeight="1">
      <c r="A282" s="269" t="s">
        <v>224</v>
      </c>
      <c r="B282" s="270" t="s">
        <v>453</v>
      </c>
      <c r="C282" s="272">
        <v>3</v>
      </c>
      <c r="D282" s="272">
        <v>1</v>
      </c>
      <c r="E282" s="272">
        <v>6</v>
      </c>
      <c r="F282" s="180">
        <f t="shared" ref="F282:F294" si="38">I282+J282+K282</f>
        <v>445.5</v>
      </c>
      <c r="G282" s="268">
        <v>30</v>
      </c>
      <c r="H282" s="268">
        <f t="shared" ref="H282:H294" si="39">C282*D282*E282*G282</f>
        <v>540</v>
      </c>
      <c r="I282" s="177">
        <f>IF(G282&lt;70, C282*E282*16.5*1.5, C282*E282*16.5*1.5)</f>
        <v>445.5</v>
      </c>
      <c r="J282" s="178"/>
      <c r="K282" s="211"/>
      <c r="L282" s="212"/>
      <c r="M282" s="213"/>
      <c r="N282" s="213"/>
      <c r="O282" s="213"/>
      <c r="P282" s="213"/>
      <c r="Q282" s="213"/>
    </row>
    <row r="283" spans="1:17" s="50" customFormat="1" ht="25" customHeight="1">
      <c r="A283" s="269" t="s">
        <v>225</v>
      </c>
      <c r="B283" s="270" t="s">
        <v>454</v>
      </c>
      <c r="C283" s="272">
        <v>3</v>
      </c>
      <c r="D283" s="272">
        <v>1</v>
      </c>
      <c r="E283" s="272">
        <v>6</v>
      </c>
      <c r="F283" s="180">
        <f t="shared" si="38"/>
        <v>445.5</v>
      </c>
      <c r="G283" s="268">
        <v>30</v>
      </c>
      <c r="H283" s="268">
        <f t="shared" si="39"/>
        <v>540</v>
      </c>
      <c r="I283" s="177">
        <f t="shared" ref="I283:I289" si="40">IF(G283&lt;70, C283*E283*16.5*1.5, C283*E283*16.5*1.5)</f>
        <v>445.5</v>
      </c>
      <c r="J283" s="178"/>
      <c r="K283" s="211"/>
      <c r="L283" s="212"/>
      <c r="M283" s="213"/>
      <c r="N283" s="213"/>
      <c r="O283" s="213"/>
      <c r="P283" s="213"/>
      <c r="Q283" s="213"/>
    </row>
    <row r="284" spans="1:17" s="50" customFormat="1" ht="25" customHeight="1">
      <c r="A284" s="269" t="s">
        <v>226</v>
      </c>
      <c r="B284" s="270" t="s">
        <v>455</v>
      </c>
      <c r="C284" s="272">
        <v>3</v>
      </c>
      <c r="D284" s="272">
        <v>1</v>
      </c>
      <c r="E284" s="272">
        <v>1</v>
      </c>
      <c r="F284" s="180">
        <f t="shared" si="38"/>
        <v>74.25</v>
      </c>
      <c r="G284" s="268">
        <v>30</v>
      </c>
      <c r="H284" s="268">
        <f t="shared" si="39"/>
        <v>90</v>
      </c>
      <c r="I284" s="177">
        <f t="shared" si="40"/>
        <v>74.25</v>
      </c>
      <c r="J284" s="178"/>
      <c r="K284" s="211"/>
      <c r="L284" s="212"/>
      <c r="M284" s="213"/>
      <c r="N284" s="213"/>
      <c r="O284" s="213"/>
      <c r="P284" s="213"/>
      <c r="Q284" s="213"/>
    </row>
    <row r="285" spans="1:17" s="50" customFormat="1" ht="25" customHeight="1">
      <c r="A285" s="269" t="s">
        <v>227</v>
      </c>
      <c r="B285" s="270" t="s">
        <v>456</v>
      </c>
      <c r="C285" s="272">
        <v>3</v>
      </c>
      <c r="D285" s="272">
        <v>1</v>
      </c>
      <c r="E285" s="272">
        <v>1</v>
      </c>
      <c r="F285" s="180">
        <f t="shared" si="38"/>
        <v>74.25</v>
      </c>
      <c r="G285" s="268">
        <v>30</v>
      </c>
      <c r="H285" s="268">
        <f t="shared" si="39"/>
        <v>90</v>
      </c>
      <c r="I285" s="177">
        <f t="shared" si="40"/>
        <v>74.25</v>
      </c>
      <c r="J285" s="178"/>
      <c r="K285" s="211"/>
      <c r="L285" s="212"/>
      <c r="M285" s="213"/>
      <c r="N285" s="213"/>
      <c r="O285" s="213"/>
      <c r="P285" s="213"/>
      <c r="Q285" s="213"/>
    </row>
    <row r="286" spans="1:17" s="50" customFormat="1" ht="25" customHeight="1">
      <c r="A286" s="269" t="s">
        <v>228</v>
      </c>
      <c r="B286" s="273" t="s">
        <v>457</v>
      </c>
      <c r="C286" s="272">
        <v>3</v>
      </c>
      <c r="D286" s="272">
        <v>1</v>
      </c>
      <c r="E286" s="272">
        <v>6</v>
      </c>
      <c r="F286" s="180">
        <f t="shared" si="38"/>
        <v>445.5</v>
      </c>
      <c r="G286" s="268">
        <v>30</v>
      </c>
      <c r="H286" s="268">
        <f t="shared" si="39"/>
        <v>540</v>
      </c>
      <c r="I286" s="177">
        <f t="shared" si="40"/>
        <v>445.5</v>
      </c>
      <c r="J286" s="178"/>
      <c r="K286" s="211"/>
      <c r="L286" s="212"/>
      <c r="M286" s="213"/>
      <c r="N286" s="213"/>
      <c r="O286" s="213"/>
      <c r="P286" s="213"/>
      <c r="Q286" s="213"/>
    </row>
    <row r="287" spans="1:17" s="50" customFormat="1" ht="25" customHeight="1">
      <c r="A287" s="269" t="s">
        <v>229</v>
      </c>
      <c r="B287" s="273" t="s">
        <v>458</v>
      </c>
      <c r="C287" s="272">
        <v>3</v>
      </c>
      <c r="D287" s="272">
        <v>1</v>
      </c>
      <c r="E287" s="272">
        <v>6</v>
      </c>
      <c r="F287" s="180">
        <f t="shared" si="38"/>
        <v>445.5</v>
      </c>
      <c r="G287" s="268">
        <v>30</v>
      </c>
      <c r="H287" s="268">
        <f t="shared" si="39"/>
        <v>540</v>
      </c>
      <c r="I287" s="177">
        <f t="shared" si="40"/>
        <v>445.5</v>
      </c>
      <c r="J287" s="178"/>
      <c r="K287" s="183"/>
      <c r="L287" s="171"/>
      <c r="M287" s="231"/>
      <c r="N287" s="231"/>
      <c r="O287" s="231"/>
      <c r="P287" s="231"/>
      <c r="Q287" s="231"/>
    </row>
    <row r="288" spans="1:17" s="50" customFormat="1" ht="25" customHeight="1">
      <c r="A288" s="269" t="s">
        <v>280</v>
      </c>
      <c r="B288" s="273" t="s">
        <v>459</v>
      </c>
      <c r="C288" s="272">
        <v>3</v>
      </c>
      <c r="D288" s="272">
        <v>1</v>
      </c>
      <c r="E288" s="272">
        <v>1</v>
      </c>
      <c r="F288" s="180">
        <f t="shared" si="38"/>
        <v>74.25</v>
      </c>
      <c r="G288" s="268">
        <v>30</v>
      </c>
      <c r="H288" s="268">
        <f t="shared" si="39"/>
        <v>90</v>
      </c>
      <c r="I288" s="177">
        <f t="shared" si="40"/>
        <v>74.25</v>
      </c>
      <c r="J288" s="178"/>
      <c r="K288" s="168"/>
      <c r="L288" s="168"/>
      <c r="M288" s="231"/>
      <c r="N288" s="231"/>
      <c r="O288" s="231"/>
      <c r="P288" s="231"/>
      <c r="Q288" s="231"/>
    </row>
    <row r="289" spans="1:17" s="50" customFormat="1" ht="25" customHeight="1">
      <c r="A289" s="269" t="s">
        <v>281</v>
      </c>
      <c r="B289" s="273" t="s">
        <v>460</v>
      </c>
      <c r="C289" s="272">
        <v>3</v>
      </c>
      <c r="D289" s="272">
        <v>1</v>
      </c>
      <c r="E289" s="272">
        <v>1</v>
      </c>
      <c r="F289" s="180">
        <f t="shared" si="38"/>
        <v>74.25</v>
      </c>
      <c r="G289" s="268">
        <v>30</v>
      </c>
      <c r="H289" s="268">
        <f t="shared" si="39"/>
        <v>90</v>
      </c>
      <c r="I289" s="177">
        <f t="shared" si="40"/>
        <v>74.25</v>
      </c>
      <c r="J289" s="178"/>
      <c r="K289" s="183"/>
      <c r="L289" s="168"/>
      <c r="M289" s="231"/>
      <c r="N289" s="231"/>
      <c r="O289" s="231"/>
      <c r="P289" s="231"/>
      <c r="Q289" s="231"/>
    </row>
    <row r="290" spans="1:17" s="50" customFormat="1" ht="25" customHeight="1">
      <c r="A290" s="269" t="s">
        <v>282</v>
      </c>
      <c r="B290" s="273" t="s">
        <v>461</v>
      </c>
      <c r="C290" s="272">
        <v>3</v>
      </c>
      <c r="D290" s="272">
        <v>1</v>
      </c>
      <c r="E290" s="272">
        <v>6</v>
      </c>
      <c r="F290" s="180">
        <f t="shared" si="38"/>
        <v>445.5</v>
      </c>
      <c r="G290" s="268">
        <v>30</v>
      </c>
      <c r="H290" s="268">
        <f t="shared" si="39"/>
        <v>540</v>
      </c>
      <c r="I290" s="229"/>
      <c r="J290" s="177">
        <f>IF(G290&lt;70, C290*E290*16.5*1.5, C290*E290*16.5*1.5)</f>
        <v>445.5</v>
      </c>
      <c r="K290" s="168"/>
      <c r="L290" s="168"/>
      <c r="M290" s="231"/>
      <c r="N290" s="231"/>
      <c r="O290" s="231"/>
      <c r="P290" s="231"/>
      <c r="Q290" s="231"/>
    </row>
    <row r="291" spans="1:17" s="50" customFormat="1" ht="25" customHeight="1">
      <c r="A291" s="269" t="s">
        <v>283</v>
      </c>
      <c r="B291" s="273" t="s">
        <v>462</v>
      </c>
      <c r="C291" s="272">
        <v>3</v>
      </c>
      <c r="D291" s="272">
        <v>1</v>
      </c>
      <c r="E291" s="272">
        <v>6</v>
      </c>
      <c r="F291" s="180">
        <f t="shared" si="38"/>
        <v>445.5</v>
      </c>
      <c r="G291" s="268">
        <v>30</v>
      </c>
      <c r="H291" s="268">
        <f t="shared" si="39"/>
        <v>540</v>
      </c>
      <c r="I291" s="229"/>
      <c r="J291" s="177">
        <f>IF(G291&lt;70, C291*E291*16.5*1.5, C291*E291*16.5*1.5)</f>
        <v>445.5</v>
      </c>
      <c r="K291" s="168"/>
      <c r="L291" s="168"/>
      <c r="M291" s="231"/>
      <c r="N291" s="231"/>
      <c r="O291" s="231"/>
      <c r="P291" s="231"/>
      <c r="Q291" s="231"/>
    </row>
    <row r="292" spans="1:17" s="253" customFormat="1" ht="25" customHeight="1">
      <c r="A292" s="269" t="s">
        <v>284</v>
      </c>
      <c r="B292" s="273" t="s">
        <v>463</v>
      </c>
      <c r="C292" s="272">
        <v>3</v>
      </c>
      <c r="D292" s="272">
        <v>1</v>
      </c>
      <c r="E292" s="272">
        <v>1</v>
      </c>
      <c r="F292" s="180">
        <f t="shared" si="38"/>
        <v>74.25</v>
      </c>
      <c r="G292" s="268">
        <v>30</v>
      </c>
      <c r="H292" s="268">
        <f t="shared" si="39"/>
        <v>90</v>
      </c>
      <c r="I292" s="251"/>
      <c r="J292" s="177">
        <f>IF(G292&lt;70, C292*E292*16.5*1.5, C292*E292*16.5*1.5)</f>
        <v>74.25</v>
      </c>
      <c r="K292" s="164"/>
      <c r="L292" s="185"/>
      <c r="M292" s="231"/>
      <c r="N292" s="231"/>
      <c r="O292" s="231"/>
      <c r="P292" s="231"/>
      <c r="Q292" s="231"/>
    </row>
    <row r="293" spans="1:17" s="253" customFormat="1" ht="25" customHeight="1">
      <c r="A293" s="269" t="s">
        <v>287</v>
      </c>
      <c r="B293" s="273" t="s">
        <v>464</v>
      </c>
      <c r="C293" s="272">
        <v>3</v>
      </c>
      <c r="D293" s="272">
        <v>1</v>
      </c>
      <c r="E293" s="272">
        <v>1</v>
      </c>
      <c r="F293" s="180">
        <f t="shared" si="38"/>
        <v>74.25</v>
      </c>
      <c r="G293" s="268">
        <v>30</v>
      </c>
      <c r="H293" s="268">
        <f t="shared" si="39"/>
        <v>90</v>
      </c>
      <c r="I293" s="251"/>
      <c r="J293" s="177">
        <f>IF(G293&lt;70, C293*E293*16.5*1.5, C293*E293*16.5*1.5)</f>
        <v>74.25</v>
      </c>
      <c r="K293" s="164"/>
      <c r="L293" s="185"/>
      <c r="M293" s="231"/>
      <c r="N293" s="231"/>
      <c r="O293" s="231"/>
      <c r="P293" s="231"/>
      <c r="Q293" s="231"/>
    </row>
    <row r="294" spans="1:17" s="253" customFormat="1" ht="25" customHeight="1">
      <c r="A294" s="269" t="s">
        <v>288</v>
      </c>
      <c r="B294" s="273" t="s">
        <v>458</v>
      </c>
      <c r="C294" s="272">
        <v>3</v>
      </c>
      <c r="D294" s="272">
        <v>1</v>
      </c>
      <c r="E294" s="272">
        <v>1</v>
      </c>
      <c r="F294" s="180">
        <f t="shared" si="38"/>
        <v>74.25</v>
      </c>
      <c r="G294" s="268">
        <v>30</v>
      </c>
      <c r="H294" s="268">
        <f t="shared" si="39"/>
        <v>90</v>
      </c>
      <c r="I294" s="178"/>
      <c r="J294" s="177">
        <f>IF(G294&lt;70, C294*E294*16.5*1.5, C294*E294*16.5*1.5)</f>
        <v>74.25</v>
      </c>
      <c r="K294" s="232"/>
      <c r="L294" s="232"/>
      <c r="M294" s="233"/>
      <c r="N294" s="233"/>
      <c r="O294" s="233"/>
      <c r="P294" s="233"/>
      <c r="Q294" s="233"/>
    </row>
    <row r="295" spans="1:17" s="253" customFormat="1" ht="25" customHeight="1">
      <c r="A295" s="330"/>
      <c r="B295" s="314" t="s">
        <v>375</v>
      </c>
      <c r="C295" s="315">
        <f>SUM(C282:C294)</f>
        <v>39</v>
      </c>
      <c r="D295" s="315">
        <f t="shared" ref="D295:J295" si="41">SUM(D282:D294)</f>
        <v>13</v>
      </c>
      <c r="E295" s="315">
        <f t="shared" si="41"/>
        <v>43</v>
      </c>
      <c r="F295" s="172">
        <f t="shared" si="41"/>
        <v>3192.75</v>
      </c>
      <c r="G295" s="172">
        <f t="shared" si="41"/>
        <v>390</v>
      </c>
      <c r="H295" s="172">
        <f t="shared" si="41"/>
        <v>3870</v>
      </c>
      <c r="I295" s="172">
        <f t="shared" si="41"/>
        <v>2079</v>
      </c>
      <c r="J295" s="172">
        <f t="shared" si="41"/>
        <v>1113.75</v>
      </c>
      <c r="K295" s="232"/>
      <c r="L295" s="232"/>
      <c r="M295" s="233"/>
      <c r="N295" s="233"/>
      <c r="O295" s="233"/>
      <c r="P295" s="233"/>
      <c r="Q295" s="233"/>
    </row>
    <row r="296" spans="1:17" s="253" customFormat="1" ht="25" customHeight="1">
      <c r="A296" s="311" t="s">
        <v>146</v>
      </c>
      <c r="B296" s="312" t="s">
        <v>500</v>
      </c>
      <c r="C296" s="272"/>
      <c r="D296" s="272"/>
      <c r="E296" s="272"/>
      <c r="F296" s="268"/>
      <c r="G296" s="268"/>
      <c r="H296" s="268"/>
      <c r="I296" s="178"/>
      <c r="J296" s="178"/>
      <c r="K296" s="232"/>
      <c r="L296" s="232"/>
      <c r="M296" s="233"/>
      <c r="N296" s="233"/>
      <c r="O296" s="233"/>
      <c r="P296" s="233"/>
      <c r="Q296" s="233"/>
    </row>
    <row r="297" spans="1:17" s="253" customFormat="1" ht="25" customHeight="1">
      <c r="A297" s="313" t="s">
        <v>505</v>
      </c>
      <c r="B297" s="269" t="s">
        <v>466</v>
      </c>
      <c r="C297" s="272">
        <v>15</v>
      </c>
      <c r="D297" s="272">
        <v>1</v>
      </c>
      <c r="E297" s="272">
        <v>1</v>
      </c>
      <c r="F297" s="180">
        <f>I297+J297+K297</f>
        <v>175</v>
      </c>
      <c r="G297" s="268">
        <v>5</v>
      </c>
      <c r="H297" s="268">
        <f>C297*G297</f>
        <v>75</v>
      </c>
      <c r="I297" s="177">
        <f>G297*35</f>
        <v>175</v>
      </c>
      <c r="J297" s="178"/>
      <c r="K297" s="232"/>
      <c r="L297" s="234"/>
      <c r="M297" s="234"/>
      <c r="N297" s="234"/>
      <c r="O297" s="234"/>
      <c r="P297" s="234"/>
      <c r="Q297" s="234"/>
    </row>
    <row r="298" spans="1:17" s="253" customFormat="1" ht="25" customHeight="1">
      <c r="A298" s="313" t="s">
        <v>506</v>
      </c>
      <c r="B298" s="269" t="s">
        <v>650</v>
      </c>
      <c r="C298" s="272">
        <v>15</v>
      </c>
      <c r="D298" s="272">
        <v>1</v>
      </c>
      <c r="E298" s="272">
        <v>1</v>
      </c>
      <c r="F298" s="180">
        <f t="shared" ref="F298:F307" si="42">I298+J298+K298</f>
        <v>175</v>
      </c>
      <c r="G298" s="268">
        <v>5</v>
      </c>
      <c r="H298" s="268">
        <f>C298*G298</f>
        <v>75</v>
      </c>
      <c r="I298" s="177"/>
      <c r="J298" s="177">
        <f>G298*35</f>
        <v>175</v>
      </c>
      <c r="K298" s="232"/>
      <c r="L298" s="235"/>
      <c r="M298" s="235"/>
      <c r="N298" s="235"/>
      <c r="O298" s="235"/>
      <c r="P298" s="235"/>
      <c r="Q298" s="235"/>
    </row>
    <row r="299" spans="1:17" s="253" customFormat="1" ht="25" customHeight="1">
      <c r="A299" s="313" t="s">
        <v>507</v>
      </c>
      <c r="B299" s="269" t="s">
        <v>467</v>
      </c>
      <c r="C299" s="272">
        <v>15</v>
      </c>
      <c r="D299" s="272">
        <v>1</v>
      </c>
      <c r="E299" s="272">
        <v>1</v>
      </c>
      <c r="F299" s="180">
        <f t="shared" si="42"/>
        <v>175</v>
      </c>
      <c r="G299" s="268">
        <v>5</v>
      </c>
      <c r="H299" s="268">
        <f>C299*G299*E299*D299</f>
        <v>75</v>
      </c>
      <c r="I299" s="177">
        <f>G299*35</f>
        <v>175</v>
      </c>
      <c r="J299" s="177"/>
      <c r="K299" s="232"/>
      <c r="L299" s="236"/>
      <c r="M299" s="236"/>
      <c r="N299" s="236"/>
      <c r="O299" s="236"/>
      <c r="P299" s="236"/>
      <c r="Q299" s="236"/>
    </row>
    <row r="300" spans="1:17" s="253" customFormat="1" ht="25" customHeight="1">
      <c r="A300" s="313" t="s">
        <v>508</v>
      </c>
      <c r="B300" s="269" t="s">
        <v>468</v>
      </c>
      <c r="C300" s="272">
        <v>15</v>
      </c>
      <c r="D300" s="272">
        <v>1</v>
      </c>
      <c r="E300" s="272">
        <v>1</v>
      </c>
      <c r="F300" s="180">
        <f t="shared" si="42"/>
        <v>175</v>
      </c>
      <c r="G300" s="268">
        <v>5</v>
      </c>
      <c r="H300" s="268">
        <f t="shared" ref="H300:H307" si="43">C300*G300*E300*D300</f>
        <v>75</v>
      </c>
      <c r="I300" s="178"/>
      <c r="J300" s="177">
        <f>G300*35</f>
        <v>175</v>
      </c>
      <c r="K300" s="232"/>
      <c r="L300" s="232"/>
      <c r="M300" s="1867"/>
      <c r="N300" s="1867"/>
      <c r="O300" s="1867"/>
      <c r="P300" s="1867"/>
      <c r="Q300" s="1867"/>
    </row>
    <row r="301" spans="1:17" s="253" customFormat="1" ht="25" customHeight="1">
      <c r="A301" s="313" t="s">
        <v>509</v>
      </c>
      <c r="B301" s="269" t="s">
        <v>469</v>
      </c>
      <c r="C301" s="272">
        <v>15</v>
      </c>
      <c r="D301" s="272">
        <v>1</v>
      </c>
      <c r="E301" s="272">
        <v>1</v>
      </c>
      <c r="F301" s="180">
        <f t="shared" si="42"/>
        <v>175</v>
      </c>
      <c r="G301" s="268">
        <v>5</v>
      </c>
      <c r="H301" s="268">
        <f t="shared" si="43"/>
        <v>75</v>
      </c>
      <c r="I301" s="178"/>
      <c r="J301" s="177">
        <f>G301*35</f>
        <v>175</v>
      </c>
      <c r="K301" s="232"/>
      <c r="L301" s="232"/>
      <c r="M301" s="233"/>
      <c r="N301" s="233"/>
      <c r="O301" s="233"/>
      <c r="P301" s="233"/>
      <c r="Q301" s="233"/>
    </row>
    <row r="302" spans="1:17" ht="25" customHeight="1">
      <c r="A302" s="313" t="s">
        <v>510</v>
      </c>
      <c r="B302" s="269" t="s">
        <v>501</v>
      </c>
      <c r="C302" s="272">
        <v>15</v>
      </c>
      <c r="D302" s="272">
        <v>1</v>
      </c>
      <c r="E302" s="272">
        <v>1</v>
      </c>
      <c r="F302" s="180">
        <f t="shared" si="42"/>
        <v>175</v>
      </c>
      <c r="G302" s="268">
        <v>5</v>
      </c>
      <c r="H302" s="268">
        <f t="shared" si="43"/>
        <v>75</v>
      </c>
      <c r="I302" s="177">
        <f>G302*35</f>
        <v>175</v>
      </c>
      <c r="J302" s="254"/>
      <c r="K302" s="232"/>
      <c r="L302" s="232"/>
      <c r="M302" s="233"/>
      <c r="N302" s="233"/>
      <c r="O302" s="233"/>
      <c r="P302" s="233"/>
      <c r="Q302" s="233"/>
    </row>
    <row r="303" spans="1:17" ht="25" customHeight="1">
      <c r="A303" s="313" t="s">
        <v>511</v>
      </c>
      <c r="B303" s="269" t="s">
        <v>502</v>
      </c>
      <c r="C303" s="272">
        <v>15</v>
      </c>
      <c r="D303" s="272">
        <v>1</v>
      </c>
      <c r="E303" s="272">
        <v>1</v>
      </c>
      <c r="F303" s="180">
        <f t="shared" si="42"/>
        <v>175</v>
      </c>
      <c r="G303" s="268">
        <v>5</v>
      </c>
      <c r="H303" s="268">
        <f t="shared" si="43"/>
        <v>75</v>
      </c>
      <c r="I303" s="177">
        <f>G303*35</f>
        <v>175</v>
      </c>
      <c r="J303" s="254"/>
      <c r="K303" s="232"/>
      <c r="L303" s="232"/>
      <c r="M303" s="237"/>
      <c r="N303" s="237"/>
      <c r="O303" s="237"/>
      <c r="P303" s="237"/>
      <c r="Q303" s="237"/>
    </row>
    <row r="304" spans="1:17" ht="25" customHeight="1">
      <c r="A304" s="313" t="s">
        <v>512</v>
      </c>
      <c r="B304" s="275" t="s">
        <v>503</v>
      </c>
      <c r="C304" s="272">
        <v>15</v>
      </c>
      <c r="D304" s="272">
        <v>1</v>
      </c>
      <c r="E304" s="272">
        <v>1</v>
      </c>
      <c r="F304" s="180">
        <f t="shared" si="42"/>
        <v>175</v>
      </c>
      <c r="G304" s="268">
        <v>5</v>
      </c>
      <c r="H304" s="268">
        <f t="shared" si="43"/>
        <v>75</v>
      </c>
      <c r="I304" s="177">
        <f>G304*35</f>
        <v>175</v>
      </c>
      <c r="J304" s="255"/>
      <c r="K304" s="232"/>
      <c r="L304" s="232"/>
      <c r="M304" s="237"/>
      <c r="N304" s="237"/>
      <c r="O304" s="237"/>
      <c r="P304" s="237"/>
      <c r="Q304" s="237"/>
    </row>
    <row r="305" spans="1:17" ht="25" customHeight="1">
      <c r="A305" s="313" t="s">
        <v>513</v>
      </c>
      <c r="B305" s="275" t="s">
        <v>504</v>
      </c>
      <c r="C305" s="272">
        <v>15</v>
      </c>
      <c r="D305" s="272">
        <v>1</v>
      </c>
      <c r="E305" s="272">
        <v>1</v>
      </c>
      <c r="F305" s="180">
        <f t="shared" si="42"/>
        <v>175</v>
      </c>
      <c r="G305" s="268">
        <v>5</v>
      </c>
      <c r="H305" s="268">
        <f t="shared" si="43"/>
        <v>75</v>
      </c>
      <c r="I305" s="177">
        <f>G305*35</f>
        <v>175</v>
      </c>
      <c r="J305" s="177"/>
      <c r="K305" s="232"/>
      <c r="L305" s="232"/>
      <c r="M305" s="237"/>
      <c r="N305" s="237"/>
      <c r="O305" s="237"/>
      <c r="P305" s="237"/>
      <c r="Q305" s="237"/>
    </row>
    <row r="306" spans="1:17" ht="25" customHeight="1">
      <c r="A306" s="313" t="s">
        <v>514</v>
      </c>
      <c r="B306" s="275" t="s">
        <v>551</v>
      </c>
      <c r="C306" s="272">
        <v>15</v>
      </c>
      <c r="D306" s="272">
        <v>1</v>
      </c>
      <c r="E306" s="272">
        <v>1</v>
      </c>
      <c r="F306" s="180">
        <f t="shared" si="42"/>
        <v>175</v>
      </c>
      <c r="G306" s="268">
        <v>5</v>
      </c>
      <c r="H306" s="268">
        <f t="shared" si="43"/>
        <v>75</v>
      </c>
      <c r="I306" s="177">
        <f>G306*35</f>
        <v>175</v>
      </c>
      <c r="J306" s="177"/>
      <c r="K306" s="232"/>
      <c r="L306" s="232"/>
      <c r="M306" s="237"/>
      <c r="N306" s="237"/>
      <c r="O306" s="237"/>
      <c r="P306" s="237"/>
      <c r="Q306" s="237"/>
    </row>
    <row r="307" spans="1:17" ht="25" customHeight="1">
      <c r="A307" s="313" t="s">
        <v>651</v>
      </c>
      <c r="B307" s="275" t="s">
        <v>652</v>
      </c>
      <c r="C307" s="272">
        <v>15</v>
      </c>
      <c r="D307" s="272">
        <v>1</v>
      </c>
      <c r="E307" s="272">
        <v>1</v>
      </c>
      <c r="F307" s="180">
        <f t="shared" si="42"/>
        <v>4515</v>
      </c>
      <c r="G307" s="268">
        <v>129</v>
      </c>
      <c r="H307" s="268">
        <f t="shared" si="43"/>
        <v>1935</v>
      </c>
      <c r="I307" s="255"/>
      <c r="J307" s="177"/>
      <c r="K307" s="177">
        <f>G307*35</f>
        <v>4515</v>
      </c>
      <c r="L307" s="232"/>
      <c r="M307" s="237"/>
      <c r="N307" s="237"/>
      <c r="O307" s="237"/>
      <c r="P307" s="237"/>
      <c r="Q307" s="237"/>
    </row>
    <row r="308" spans="1:17" ht="25" customHeight="1">
      <c r="A308" s="313" t="s">
        <v>653</v>
      </c>
      <c r="B308" s="275" t="s">
        <v>654</v>
      </c>
      <c r="C308" s="272">
        <v>15</v>
      </c>
      <c r="D308" s="272">
        <v>1</v>
      </c>
      <c r="E308" s="272">
        <v>1</v>
      </c>
      <c r="F308" s="172">
        <f t="shared" ref="F308:K308" si="44">SUM(F297:F307)</f>
        <v>6265</v>
      </c>
      <c r="G308" s="172">
        <f t="shared" si="44"/>
        <v>179</v>
      </c>
      <c r="H308" s="172">
        <f t="shared" si="44"/>
        <v>2685</v>
      </c>
      <c r="I308" s="172">
        <f t="shared" si="44"/>
        <v>1225</v>
      </c>
      <c r="J308" s="172">
        <f t="shared" si="44"/>
        <v>525</v>
      </c>
      <c r="K308" s="172">
        <f t="shared" si="44"/>
        <v>4515</v>
      </c>
      <c r="L308" s="232"/>
      <c r="M308" s="237"/>
      <c r="N308" s="237"/>
      <c r="O308" s="237"/>
      <c r="P308" s="237"/>
      <c r="Q308" s="237"/>
    </row>
    <row r="309" spans="1:17" ht="25" customHeight="1">
      <c r="A309" s="313" t="s">
        <v>655</v>
      </c>
      <c r="B309" s="275" t="s">
        <v>656</v>
      </c>
      <c r="C309" s="272">
        <v>15</v>
      </c>
      <c r="D309" s="272">
        <v>1</v>
      </c>
      <c r="E309" s="272">
        <v>1</v>
      </c>
      <c r="F309" s="268"/>
      <c r="G309" s="268"/>
      <c r="H309" s="268"/>
      <c r="I309" s="178"/>
      <c r="J309" s="178"/>
      <c r="K309" s="232"/>
      <c r="L309" s="232"/>
      <c r="M309" s="238"/>
      <c r="N309" s="238"/>
      <c r="O309" s="238"/>
      <c r="P309" s="238"/>
      <c r="Q309" s="238"/>
    </row>
    <row r="310" spans="1:17" ht="25" customHeight="1">
      <c r="A310" s="327"/>
      <c r="B310" s="328" t="s">
        <v>657</v>
      </c>
      <c r="C310" s="272">
        <v>15</v>
      </c>
      <c r="D310" s="272">
        <v>1</v>
      </c>
      <c r="E310" s="272">
        <v>1</v>
      </c>
      <c r="F310" s="268"/>
      <c r="G310" s="268"/>
      <c r="H310" s="268"/>
      <c r="I310" s="178"/>
      <c r="J310" s="178"/>
      <c r="K310" s="232"/>
      <c r="L310" s="232"/>
      <c r="M310" s="233"/>
      <c r="N310" s="233"/>
      <c r="O310" s="233"/>
      <c r="P310" s="233"/>
      <c r="Q310" s="233"/>
    </row>
    <row r="311" spans="1:17" ht="25" customHeight="1">
      <c r="A311" s="313"/>
      <c r="B311" s="314" t="s">
        <v>375</v>
      </c>
      <c r="C311" s="315">
        <f>SUM(C297:C310)</f>
        <v>210</v>
      </c>
      <c r="D311" s="315">
        <f>SUM(D297:D310)</f>
        <v>14</v>
      </c>
      <c r="E311" s="315">
        <f>SUM(E297:E310)</f>
        <v>14</v>
      </c>
      <c r="F311" s="180">
        <f>I311+J311+K311</f>
        <v>97020</v>
      </c>
      <c r="G311" s="268">
        <v>11</v>
      </c>
      <c r="H311" s="268">
        <f>C311*D311*E311*G311</f>
        <v>452760</v>
      </c>
      <c r="I311" s="177">
        <f>IF(G311&lt;70, C311*E311*16.5*1*2, C311*E311*16.5*1.3*2)</f>
        <v>97020</v>
      </c>
      <c r="J311" s="178"/>
      <c r="K311" s="232"/>
      <c r="L311" s="232"/>
      <c r="M311" s="233"/>
      <c r="N311" s="233"/>
      <c r="O311" s="233"/>
      <c r="P311" s="233"/>
      <c r="Q311" s="233"/>
    </row>
    <row r="312" spans="1:17" ht="25" customHeight="1">
      <c r="A312" s="316">
        <v>3</v>
      </c>
      <c r="B312" s="316" t="s">
        <v>164</v>
      </c>
      <c r="C312" s="272"/>
      <c r="D312" s="272"/>
      <c r="E312" s="272"/>
      <c r="F312" s="180">
        <f>I312+J312+K312</f>
        <v>0</v>
      </c>
      <c r="G312" s="268">
        <v>11</v>
      </c>
      <c r="H312" s="268">
        <f>C312*D312*E312*G312</f>
        <v>0</v>
      </c>
      <c r="I312" s="177">
        <f>IF(G312&lt;70, C312*E312*16.5*1*2, C312*E312*16.5*1.3*2)</f>
        <v>0</v>
      </c>
      <c r="J312" s="178"/>
      <c r="K312" s="232"/>
      <c r="L312" s="232"/>
      <c r="M312" s="233"/>
      <c r="N312" s="233"/>
      <c r="O312" s="233"/>
      <c r="P312" s="233"/>
      <c r="Q312" s="233"/>
    </row>
    <row r="313" spans="1:17" ht="25" customHeight="1">
      <c r="A313" s="317" t="s">
        <v>145</v>
      </c>
      <c r="B313" s="318" t="s">
        <v>165</v>
      </c>
      <c r="C313" s="272"/>
      <c r="D313" s="272"/>
      <c r="E313" s="272"/>
      <c r="F313" s="180">
        <f>I313+J313+K313</f>
        <v>0</v>
      </c>
      <c r="G313" s="268">
        <v>11</v>
      </c>
      <c r="H313" s="268">
        <f>C313*D313*E313*G313</f>
        <v>0</v>
      </c>
      <c r="I313" s="177">
        <f>IF(G313&lt;70, C313*E313*16.5*1*2, C313*E313*16.5*1.3*2)</f>
        <v>0</v>
      </c>
      <c r="J313" s="178"/>
      <c r="K313" s="232"/>
      <c r="L313" s="232"/>
      <c r="M313" s="233"/>
      <c r="N313" s="233"/>
      <c r="O313" s="233"/>
      <c r="P313" s="233"/>
      <c r="Q313" s="233"/>
    </row>
    <row r="314" spans="1:17" ht="25" customHeight="1">
      <c r="A314" s="269" t="s">
        <v>224</v>
      </c>
      <c r="B314" s="270" t="s">
        <v>470</v>
      </c>
      <c r="C314" s="272">
        <v>3</v>
      </c>
      <c r="D314" s="272">
        <v>1</v>
      </c>
      <c r="E314" s="272">
        <v>1</v>
      </c>
      <c r="F314" s="268"/>
      <c r="G314" s="268"/>
      <c r="H314" s="268"/>
      <c r="I314" s="178"/>
      <c r="J314" s="178"/>
      <c r="K314" s="232"/>
      <c r="L314" s="232"/>
      <c r="M314" s="233"/>
      <c r="N314" s="233"/>
      <c r="O314" s="233"/>
      <c r="P314" s="233"/>
      <c r="Q314" s="233"/>
    </row>
    <row r="315" spans="1:17" ht="25" customHeight="1">
      <c r="A315" s="269" t="s">
        <v>225</v>
      </c>
      <c r="B315" s="270" t="s">
        <v>471</v>
      </c>
      <c r="C315" s="272">
        <v>3</v>
      </c>
      <c r="D315" s="272">
        <v>1</v>
      </c>
      <c r="E315" s="272">
        <v>1</v>
      </c>
      <c r="F315" s="268"/>
      <c r="G315" s="268"/>
      <c r="H315" s="268"/>
      <c r="I315" s="178"/>
      <c r="J315" s="178"/>
      <c r="K315" s="232"/>
      <c r="L315" s="232"/>
      <c r="M315" s="233"/>
      <c r="N315" s="233"/>
      <c r="O315" s="233"/>
      <c r="P315" s="233"/>
      <c r="Q315" s="233"/>
    </row>
    <row r="316" spans="1:17" ht="25" customHeight="1">
      <c r="A316" s="313" t="s">
        <v>472</v>
      </c>
      <c r="B316" s="269" t="s">
        <v>473</v>
      </c>
      <c r="C316" s="272">
        <v>3</v>
      </c>
      <c r="D316" s="272">
        <v>1</v>
      </c>
      <c r="E316" s="272">
        <v>1</v>
      </c>
      <c r="F316" s="268"/>
      <c r="G316" s="268"/>
      <c r="H316" s="268"/>
      <c r="I316" s="178"/>
      <c r="J316" s="178"/>
      <c r="K316" s="232"/>
      <c r="L316" s="232"/>
      <c r="M316" s="233"/>
      <c r="N316" s="233"/>
      <c r="O316" s="233"/>
      <c r="P316" s="233"/>
      <c r="Q316" s="233"/>
    </row>
    <row r="317" spans="1:17" ht="25" customHeight="1">
      <c r="A317" s="311" t="s">
        <v>146</v>
      </c>
      <c r="B317" s="312" t="s">
        <v>166</v>
      </c>
      <c r="C317" s="272"/>
      <c r="D317" s="272"/>
      <c r="E317" s="272"/>
      <c r="F317" s="180">
        <f>I317+J317+K317</f>
        <v>600</v>
      </c>
      <c r="G317" s="268"/>
      <c r="H317" s="268"/>
      <c r="I317" s="178">
        <v>600</v>
      </c>
      <c r="J317" s="178"/>
      <c r="K317" s="232"/>
      <c r="L317" s="232"/>
      <c r="M317" s="233"/>
      <c r="N317" s="233"/>
      <c r="O317" s="233"/>
      <c r="P317" s="233"/>
      <c r="Q317" s="233"/>
    </row>
    <row r="318" spans="1:17" ht="25" customHeight="1">
      <c r="A318" s="311"/>
      <c r="B318" s="312" t="s">
        <v>658</v>
      </c>
      <c r="C318" s="272"/>
      <c r="D318" s="272"/>
      <c r="E318" s="272"/>
      <c r="F318" s="180">
        <f>I318+J318+K318</f>
        <v>300</v>
      </c>
      <c r="G318" s="268"/>
      <c r="H318" s="268"/>
      <c r="I318" s="178"/>
      <c r="J318" s="178">
        <v>300</v>
      </c>
      <c r="K318" s="232"/>
      <c r="L318" s="232"/>
      <c r="M318" s="233"/>
      <c r="N318" s="233"/>
      <c r="O318" s="233"/>
      <c r="P318" s="233"/>
      <c r="Q318" s="233"/>
    </row>
    <row r="319" spans="1:17" ht="25" customHeight="1">
      <c r="A319" s="311"/>
      <c r="B319" s="312" t="s">
        <v>659</v>
      </c>
      <c r="C319" s="272"/>
      <c r="D319" s="272"/>
      <c r="E319" s="272"/>
      <c r="F319" s="268"/>
      <c r="G319" s="268"/>
      <c r="H319" s="268"/>
      <c r="I319" s="178"/>
      <c r="J319" s="178"/>
      <c r="K319" s="232"/>
      <c r="L319" s="232"/>
      <c r="M319" s="233"/>
      <c r="N319" s="233"/>
      <c r="O319" s="233"/>
      <c r="P319" s="233"/>
      <c r="Q319" s="233"/>
    </row>
    <row r="320" spans="1:17" ht="25" customHeight="1">
      <c r="A320" s="311"/>
      <c r="B320" s="312" t="s">
        <v>474</v>
      </c>
      <c r="C320" s="272"/>
      <c r="D320" s="272"/>
      <c r="E320" s="272"/>
      <c r="F320" s="268"/>
      <c r="G320" s="268"/>
      <c r="H320" s="268"/>
      <c r="I320" s="178"/>
      <c r="J320" s="178"/>
      <c r="K320" s="232"/>
      <c r="L320" s="232"/>
      <c r="M320" s="233"/>
      <c r="N320" s="233"/>
      <c r="O320" s="233"/>
      <c r="P320" s="233"/>
      <c r="Q320" s="233"/>
    </row>
    <row r="321" spans="1:17" ht="25" customHeight="1">
      <c r="A321" s="313"/>
      <c r="B321" s="269" t="s">
        <v>475</v>
      </c>
      <c r="C321" s="272"/>
      <c r="D321" s="272"/>
      <c r="E321" s="272"/>
      <c r="F321" s="180">
        <f>I321+J321+K321</f>
        <v>1120</v>
      </c>
      <c r="G321" s="268"/>
      <c r="H321" s="268"/>
      <c r="I321" s="178">
        <v>1120</v>
      </c>
      <c r="J321" s="178"/>
      <c r="K321" s="232"/>
      <c r="L321" s="232"/>
      <c r="M321" s="233"/>
      <c r="N321" s="233"/>
      <c r="O321" s="233"/>
      <c r="P321" s="233"/>
      <c r="Q321" s="233"/>
    </row>
    <row r="322" spans="1:17" ht="25" customHeight="1">
      <c r="A322" s="311" t="s">
        <v>167</v>
      </c>
      <c r="B322" s="312" t="s">
        <v>168</v>
      </c>
      <c r="C322" s="272"/>
      <c r="D322" s="272"/>
      <c r="E322" s="272"/>
      <c r="F322" s="180">
        <f>I322+J322+K322</f>
        <v>680</v>
      </c>
      <c r="G322" s="268"/>
      <c r="H322" s="268"/>
      <c r="I322" s="178"/>
      <c r="J322" s="178">
        <v>680</v>
      </c>
      <c r="K322" s="232"/>
      <c r="L322" s="232"/>
      <c r="M322" s="233"/>
      <c r="N322" s="233"/>
      <c r="O322" s="233"/>
      <c r="P322" s="233"/>
      <c r="Q322" s="233"/>
    </row>
    <row r="323" spans="1:17" ht="25" customHeight="1">
      <c r="A323" s="313"/>
      <c r="B323" s="269" t="s">
        <v>660</v>
      </c>
      <c r="C323" s="272"/>
      <c r="D323" s="272"/>
      <c r="E323" s="272"/>
      <c r="F323" s="268">
        <f>SUM(F311:F322)</f>
        <v>99720</v>
      </c>
      <c r="G323" s="172">
        <f>SUM(G311:G322)</f>
        <v>33</v>
      </c>
      <c r="H323" s="172">
        <f>SUM(H311:H322)</f>
        <v>452760</v>
      </c>
      <c r="I323" s="172">
        <f>SUM(I311:I322)</f>
        <v>98740</v>
      </c>
      <c r="J323" s="172">
        <f>SUM(J311:J322)</f>
        <v>980</v>
      </c>
      <c r="K323" s="232"/>
      <c r="L323" s="232"/>
      <c r="M323" s="233"/>
      <c r="N323" s="233"/>
      <c r="O323" s="233"/>
      <c r="P323" s="233"/>
      <c r="Q323" s="233"/>
    </row>
    <row r="324" spans="1:17" ht="25" customHeight="1">
      <c r="A324" s="313"/>
      <c r="B324" s="269" t="s">
        <v>476</v>
      </c>
      <c r="C324" s="272"/>
      <c r="D324" s="272"/>
      <c r="E324" s="272"/>
      <c r="F324" s="268"/>
      <c r="G324" s="268"/>
      <c r="H324" s="268"/>
      <c r="I324" s="178"/>
      <c r="J324" s="178"/>
      <c r="K324" s="232"/>
      <c r="L324" s="232"/>
      <c r="M324" s="233"/>
      <c r="N324" s="233"/>
      <c r="O324" s="233"/>
      <c r="P324" s="233"/>
      <c r="Q324" s="233"/>
    </row>
    <row r="325" spans="1:17" ht="25" customHeight="1">
      <c r="A325" s="313"/>
      <c r="B325" s="269" t="s">
        <v>475</v>
      </c>
      <c r="C325" s="272"/>
      <c r="D325" s="272"/>
      <c r="E325" s="272"/>
      <c r="F325" s="268"/>
      <c r="G325" s="268"/>
      <c r="H325" s="268"/>
      <c r="I325" s="178"/>
      <c r="J325" s="178"/>
      <c r="K325" s="232"/>
      <c r="L325" s="232"/>
      <c r="M325" s="233"/>
      <c r="N325" s="233"/>
      <c r="O325" s="233"/>
      <c r="P325" s="233"/>
      <c r="Q325" s="233"/>
    </row>
    <row r="326" spans="1:17" ht="25" customHeight="1">
      <c r="A326" s="313"/>
      <c r="B326" s="314" t="s">
        <v>375</v>
      </c>
      <c r="C326" s="315">
        <f>SUM(C314:C325)</f>
        <v>9</v>
      </c>
      <c r="D326" s="315">
        <f>SUM(D314:D325)</f>
        <v>3</v>
      </c>
      <c r="E326" s="315">
        <f>SUM(E314:E325)</f>
        <v>3</v>
      </c>
      <c r="F326" s="268"/>
      <c r="G326" s="268"/>
      <c r="H326" s="268"/>
      <c r="I326" s="178"/>
      <c r="J326" s="178"/>
      <c r="K326" s="232"/>
      <c r="L326" s="232"/>
      <c r="M326" s="233"/>
      <c r="N326" s="233"/>
      <c r="O326" s="233"/>
      <c r="P326" s="233"/>
      <c r="Q326" s="233"/>
    </row>
    <row r="327" spans="1:17" ht="25" customHeight="1">
      <c r="A327" s="277" t="s">
        <v>495</v>
      </c>
      <c r="B327" s="277" t="s">
        <v>496</v>
      </c>
      <c r="C327" s="272"/>
      <c r="D327" s="272"/>
      <c r="E327" s="272"/>
      <c r="F327" s="180">
        <f>I327+J327+K327</f>
        <v>0</v>
      </c>
      <c r="G327" s="186">
        <v>40</v>
      </c>
      <c r="H327" s="268">
        <f>C327*D327*E327*G327</f>
        <v>0</v>
      </c>
      <c r="I327" s="177">
        <f>IF(G327&lt;70, C327*E327*16.5*1, C327*E327*16.5*1.3)</f>
        <v>0</v>
      </c>
      <c r="J327" s="178"/>
      <c r="K327" s="232"/>
      <c r="L327" s="232"/>
      <c r="M327" s="233"/>
      <c r="N327" s="233"/>
      <c r="O327" s="233"/>
      <c r="P327" s="233"/>
      <c r="Q327" s="233"/>
    </row>
    <row r="328" spans="1:17" ht="25" customHeight="1">
      <c r="A328" s="277">
        <v>1</v>
      </c>
      <c r="B328" s="279" t="s">
        <v>223</v>
      </c>
      <c r="C328" s="272"/>
      <c r="D328" s="272"/>
      <c r="E328" s="272"/>
      <c r="F328" s="180">
        <f>I328+J328+K328</f>
        <v>0</v>
      </c>
      <c r="G328" s="186">
        <v>40</v>
      </c>
      <c r="H328" s="268">
        <f>C328*D328*E328*G328</f>
        <v>0</v>
      </c>
      <c r="I328" s="177">
        <f>IF(G328&lt;70, C328*E328*16.5*1, C328*E328*16.5*1.3)</f>
        <v>0</v>
      </c>
      <c r="J328" s="178"/>
      <c r="K328" s="232"/>
      <c r="L328" s="232"/>
      <c r="M328" s="233"/>
      <c r="N328" s="233"/>
      <c r="O328" s="233"/>
      <c r="P328" s="233"/>
      <c r="Q328" s="233"/>
    </row>
    <row r="329" spans="1:17" ht="25" customHeight="1">
      <c r="A329" s="277" t="s">
        <v>376</v>
      </c>
      <c r="B329" s="279" t="s">
        <v>161</v>
      </c>
      <c r="C329" s="272"/>
      <c r="D329" s="272"/>
      <c r="E329" s="272"/>
      <c r="F329" s="268">
        <f>SUM(F327:F328)</f>
        <v>0</v>
      </c>
      <c r="G329" s="172">
        <f>SUM(G327:G328)</f>
        <v>80</v>
      </c>
      <c r="H329" s="172">
        <f>SUM(H327:H328)</f>
        <v>0</v>
      </c>
      <c r="I329" s="172">
        <f>SUM(I327:I328)</f>
        <v>0</v>
      </c>
      <c r="J329" s="172">
        <f>SUM(J327:J328)</f>
        <v>0</v>
      </c>
      <c r="K329" s="232"/>
      <c r="L329" s="232"/>
      <c r="M329" s="233"/>
      <c r="N329" s="233"/>
      <c r="O329" s="233"/>
      <c r="P329" s="233"/>
      <c r="Q329" s="233"/>
    </row>
    <row r="330" spans="1:17" s="339" customFormat="1" ht="25" customHeight="1">
      <c r="A330" s="333" t="s">
        <v>224</v>
      </c>
      <c r="B330" s="331" t="s">
        <v>661</v>
      </c>
      <c r="C330" s="334">
        <v>2</v>
      </c>
      <c r="D330" s="334">
        <v>1</v>
      </c>
      <c r="E330" s="334">
        <v>5</v>
      </c>
      <c r="F330" s="348">
        <f t="shared" ref="F330:K330" si="45">F273+F295+F308+F329+F323</f>
        <v>110522.5</v>
      </c>
      <c r="G330" s="349">
        <f t="shared" si="45"/>
        <v>2041</v>
      </c>
      <c r="H330" s="349">
        <f t="shared" si="45"/>
        <v>463159</v>
      </c>
      <c r="I330" s="349">
        <f t="shared" si="45"/>
        <v>103388.75</v>
      </c>
      <c r="J330" s="349">
        <f t="shared" si="45"/>
        <v>2618.75</v>
      </c>
      <c r="K330" s="349">
        <f t="shared" si="45"/>
        <v>4515</v>
      </c>
      <c r="L330" s="350">
        <f>'Bieu3 QLGD'!F25</f>
        <v>1890</v>
      </c>
      <c r="M330" s="351">
        <f>'Bieu3 QLGD'!N25</f>
        <v>1606.5</v>
      </c>
      <c r="N330" s="351">
        <f>I330-M330</f>
        <v>101782.25</v>
      </c>
      <c r="O330" s="351">
        <f>'Bieu3 QLGD'!O25</f>
        <v>1311.75</v>
      </c>
      <c r="P330" s="351">
        <f>'Bieu3 QLGD'!P25</f>
        <v>680</v>
      </c>
      <c r="Q330" s="351"/>
    </row>
    <row r="331" spans="1:17" s="339" customFormat="1" ht="25" customHeight="1">
      <c r="A331" s="333" t="s">
        <v>224</v>
      </c>
      <c r="B331" s="331" t="s">
        <v>662</v>
      </c>
      <c r="C331" s="334">
        <v>2</v>
      </c>
      <c r="D331" s="334">
        <v>1</v>
      </c>
      <c r="E331" s="334">
        <v>4</v>
      </c>
      <c r="F331" s="352"/>
      <c r="G331" s="353"/>
      <c r="H331" s="353"/>
      <c r="I331" s="353"/>
      <c r="J331" s="353"/>
      <c r="K331" s="353"/>
      <c r="L331" s="354"/>
      <c r="M331" s="338"/>
      <c r="N331" s="338"/>
      <c r="O331" s="338"/>
      <c r="P331" s="338"/>
      <c r="Q331" s="338"/>
    </row>
    <row r="332" spans="1:17" s="339" customFormat="1" ht="25" customHeight="1">
      <c r="A332" s="333" t="s">
        <v>225</v>
      </c>
      <c r="B332" s="331" t="s">
        <v>663</v>
      </c>
      <c r="C332" s="334">
        <v>2</v>
      </c>
      <c r="D332" s="334">
        <v>1</v>
      </c>
      <c r="E332" s="334">
        <v>4</v>
      </c>
      <c r="F332" s="335"/>
      <c r="G332" s="335"/>
      <c r="H332" s="335"/>
      <c r="I332" s="335"/>
      <c r="J332" s="335"/>
      <c r="K332" s="336"/>
      <c r="L332" s="337"/>
      <c r="M332" s="337"/>
      <c r="N332" s="337"/>
      <c r="O332" s="337"/>
      <c r="P332" s="337"/>
      <c r="Q332" s="338"/>
    </row>
    <row r="333" spans="1:17" s="339" customFormat="1" ht="25" customHeight="1">
      <c r="A333" s="333"/>
      <c r="B333" s="340" t="s">
        <v>375</v>
      </c>
      <c r="C333" s="341">
        <f>SUM(C331:C332)</f>
        <v>4</v>
      </c>
      <c r="D333" s="341">
        <f>SUM(D331:D332)</f>
        <v>2</v>
      </c>
      <c r="E333" s="341">
        <f>SUM(E331:E332)</f>
        <v>8</v>
      </c>
      <c r="F333" s="342"/>
      <c r="G333" s="342"/>
      <c r="H333" s="342"/>
      <c r="I333" s="342"/>
      <c r="J333" s="342"/>
      <c r="K333" s="343"/>
      <c r="L333" s="344"/>
      <c r="M333" s="344"/>
      <c r="N333" s="344"/>
      <c r="O333" s="344"/>
      <c r="P333" s="344"/>
      <c r="Q333" s="338"/>
    </row>
    <row r="334" spans="1:17" s="339" customFormat="1" ht="25" customHeight="1">
      <c r="A334" s="333"/>
      <c r="B334" s="340" t="s">
        <v>477</v>
      </c>
      <c r="C334" s="341">
        <f>C273+C295+C311+C333+C326</f>
        <v>330</v>
      </c>
      <c r="D334" s="341">
        <f>D273+D295+D311+D333+D326</f>
        <v>58.6</v>
      </c>
      <c r="E334" s="341">
        <f>E273+E295+E311+E333+E326</f>
        <v>97</v>
      </c>
      <c r="F334" s="342"/>
      <c r="G334" s="342"/>
      <c r="H334" s="342"/>
      <c r="I334" s="342"/>
      <c r="J334" s="342"/>
      <c r="K334" s="343"/>
      <c r="L334" s="344"/>
      <c r="M334" s="344"/>
      <c r="N334" s="344"/>
      <c r="O334" s="344"/>
      <c r="P334" s="344"/>
      <c r="Q334" s="338"/>
    </row>
    <row r="335" spans="1:17" s="339" customFormat="1" ht="25" customHeight="1">
      <c r="A335" s="345"/>
      <c r="B335" s="346"/>
      <c r="C335" s="342"/>
      <c r="D335" s="342"/>
      <c r="E335" s="347"/>
      <c r="F335" s="342"/>
      <c r="G335" s="342"/>
      <c r="H335" s="342"/>
      <c r="I335" s="342"/>
      <c r="J335" s="342"/>
      <c r="K335" s="343"/>
      <c r="L335" s="344"/>
      <c r="M335" s="344"/>
      <c r="N335" s="344"/>
      <c r="O335" s="344"/>
      <c r="P335" s="344"/>
      <c r="Q335" s="338"/>
    </row>
    <row r="336" spans="1:17" ht="25" customHeight="1">
      <c r="A336" s="168" t="s">
        <v>6</v>
      </c>
      <c r="B336" s="168" t="s">
        <v>160</v>
      </c>
      <c r="C336" s="172">
        <f t="shared" ref="C336:K336" si="46">C48+C185+C211+C273+C126</f>
        <v>76</v>
      </c>
      <c r="D336" s="172">
        <f t="shared" si="46"/>
        <v>29.6</v>
      </c>
      <c r="E336" s="172">
        <f t="shared" si="46"/>
        <v>38</v>
      </c>
      <c r="F336" s="172">
        <f t="shared" si="46"/>
        <v>45451.149999999994</v>
      </c>
      <c r="G336" s="172">
        <f t="shared" si="46"/>
        <v>5620</v>
      </c>
      <c r="H336" s="172">
        <f t="shared" si="46"/>
        <v>1371917.36</v>
      </c>
      <c r="I336" s="172">
        <f t="shared" si="46"/>
        <v>45253.149999999994</v>
      </c>
      <c r="J336" s="172">
        <f t="shared" si="46"/>
        <v>198</v>
      </c>
      <c r="K336" s="172">
        <f t="shared" si="46"/>
        <v>0</v>
      </c>
      <c r="L336" s="239" t="e">
        <f>L330+L240+#REF!+L165+L85</f>
        <v>#REF!</v>
      </c>
      <c r="M336" s="239" t="e">
        <f>M330+M240+#REF!+M165+M85</f>
        <v>#REF!</v>
      </c>
      <c r="N336" s="239" t="e">
        <f>N330+N240+#REF!+N165+N85</f>
        <v>#REF!</v>
      </c>
      <c r="O336" s="239" t="e">
        <f>O330+O240+#REF!+O165+O85</f>
        <v>#REF!</v>
      </c>
      <c r="P336" s="239" t="e">
        <f>P330+P240+#REF!+P165+P85</f>
        <v>#REF!</v>
      </c>
      <c r="Q336" s="179"/>
    </row>
    <row r="337" spans="1:17" ht="25" customHeight="1">
      <c r="A337" s="183" t="s">
        <v>7</v>
      </c>
      <c r="B337" s="168" t="s">
        <v>170</v>
      </c>
      <c r="C337" s="172">
        <f t="shared" ref="C337:K337" si="47">C308+C295+C223+C195+C63+C146</f>
        <v>63</v>
      </c>
      <c r="D337" s="172">
        <f t="shared" si="47"/>
        <v>17</v>
      </c>
      <c r="E337" s="172">
        <f t="shared" si="47"/>
        <v>62</v>
      </c>
      <c r="F337" s="172">
        <f t="shared" si="47"/>
        <v>58648.25</v>
      </c>
      <c r="G337" s="172">
        <f t="shared" si="47"/>
        <v>928</v>
      </c>
      <c r="H337" s="172">
        <f t="shared" si="47"/>
        <v>217128</v>
      </c>
      <c r="I337" s="172">
        <f t="shared" si="47"/>
        <v>52494.5</v>
      </c>
      <c r="J337" s="172">
        <f t="shared" si="47"/>
        <v>1638.75</v>
      </c>
      <c r="K337" s="172">
        <f t="shared" si="47"/>
        <v>4515</v>
      </c>
      <c r="L337" s="172">
        <f>L308+L295+L223+L195+L146</f>
        <v>0</v>
      </c>
      <c r="M337" s="172">
        <f>M308+M295+M223+M195+M146</f>
        <v>0</v>
      </c>
      <c r="N337" s="172">
        <f>N308+N295+N223+N195+N146</f>
        <v>0</v>
      </c>
      <c r="O337" s="172">
        <f>O308+O295+O223+O195+O146</f>
        <v>0</v>
      </c>
      <c r="P337" s="172">
        <f>P308+P295+P223+P195+P146</f>
        <v>0</v>
      </c>
      <c r="Q337" s="179"/>
    </row>
    <row r="338" spans="1:17" ht="25" customHeight="1">
      <c r="A338" s="183" t="s">
        <v>24</v>
      </c>
      <c r="B338" s="171" t="s">
        <v>164</v>
      </c>
      <c r="C338" s="172">
        <f t="shared" ref="C338:J338" si="48">C323+C229</f>
        <v>0</v>
      </c>
      <c r="D338" s="172">
        <f t="shared" si="48"/>
        <v>0</v>
      </c>
      <c r="E338" s="172">
        <f t="shared" si="48"/>
        <v>0</v>
      </c>
      <c r="F338" s="172">
        <f t="shared" si="48"/>
        <v>99720</v>
      </c>
      <c r="G338" s="172">
        <f t="shared" si="48"/>
        <v>33</v>
      </c>
      <c r="H338" s="172">
        <f t="shared" si="48"/>
        <v>452760</v>
      </c>
      <c r="I338" s="172">
        <f t="shared" si="48"/>
        <v>98740</v>
      </c>
      <c r="J338" s="172">
        <f t="shared" si="48"/>
        <v>980</v>
      </c>
      <c r="K338" s="172">
        <f t="shared" ref="K338:P338" si="49">K329+K229</f>
        <v>0</v>
      </c>
      <c r="L338" s="172">
        <f t="shared" si="49"/>
        <v>0</v>
      </c>
      <c r="M338" s="172">
        <f t="shared" si="49"/>
        <v>0</v>
      </c>
      <c r="N338" s="172">
        <f t="shared" si="49"/>
        <v>0</v>
      </c>
      <c r="O338" s="172">
        <f t="shared" si="49"/>
        <v>0</v>
      </c>
      <c r="P338" s="172">
        <f t="shared" si="49"/>
        <v>0</v>
      </c>
      <c r="Q338" s="179"/>
    </row>
    <row r="339" spans="1:17" ht="25" customHeight="1">
      <c r="A339" s="183"/>
      <c r="B339" s="171" t="s">
        <v>530</v>
      </c>
      <c r="C339" s="172" t="e">
        <f>C329+C239+#REF!+C164+C83</f>
        <v>#REF!</v>
      </c>
      <c r="D339" s="172" t="e">
        <f>D329+D239+#REF!+D164+D83</f>
        <v>#REF!</v>
      </c>
      <c r="E339" s="172" t="e">
        <f>E329+E239+#REF!+E164+E83</f>
        <v>#REF!</v>
      </c>
      <c r="F339" s="172" t="e">
        <f>F329+F239+#REF!+F164+F83</f>
        <v>#REF!</v>
      </c>
      <c r="G339" s="172" t="e">
        <f>G329+G239+#REF!+G164+G83</f>
        <v>#REF!</v>
      </c>
      <c r="H339" s="172" t="e">
        <f>H329+H239+#REF!+H164+H83</f>
        <v>#REF!</v>
      </c>
      <c r="I339" s="172" t="e">
        <f>I329+I239+#REF!+I164+I83</f>
        <v>#REF!</v>
      </c>
      <c r="J339" s="172" t="e">
        <f>J329+J239+#REF!+J164+J83</f>
        <v>#REF!</v>
      </c>
      <c r="K339" s="172" t="e">
        <f>K329+K239+#REF!+K164+K83</f>
        <v>#REF!</v>
      </c>
      <c r="L339" s="172" t="e">
        <f>L329+L239+#REF!+L164+L83</f>
        <v>#REF!</v>
      </c>
      <c r="M339" s="172" t="e">
        <f>M329+M239+#REF!+M164+M83</f>
        <v>#REF!</v>
      </c>
      <c r="N339" s="172" t="e">
        <f>N329+N239+#REF!+N164+N83</f>
        <v>#REF!</v>
      </c>
      <c r="O339" s="172" t="e">
        <f>O329+O239+#REF!+O164+O83</f>
        <v>#REF!</v>
      </c>
      <c r="P339" s="172" t="e">
        <f>P329+P239+#REF!+P164+P83</f>
        <v>#REF!</v>
      </c>
      <c r="Q339" s="179"/>
    </row>
    <row r="340" spans="1:17" ht="25" customHeight="1">
      <c r="A340" s="183"/>
      <c r="B340" s="171" t="s">
        <v>531</v>
      </c>
      <c r="C340" s="172"/>
      <c r="D340" s="172"/>
      <c r="E340" s="172"/>
      <c r="F340" s="172"/>
      <c r="G340" s="172"/>
      <c r="H340" s="172"/>
      <c r="I340" s="172"/>
      <c r="J340" s="172"/>
      <c r="K340" s="240"/>
      <c r="L340" s="240"/>
      <c r="M340" s="240"/>
      <c r="N340" s="240"/>
      <c r="O340" s="240"/>
      <c r="P340" s="240"/>
      <c r="Q340" s="179"/>
    </row>
    <row r="341" spans="1:17" ht="25" customHeight="1">
      <c r="A341" s="164"/>
      <c r="B341" s="191" t="s">
        <v>479</v>
      </c>
      <c r="C341" s="187" t="e">
        <f>C330+C240+#REF!+C165+C85</f>
        <v>#REF!</v>
      </c>
      <c r="D341" s="187" t="e">
        <f>D330+D240+#REF!+D165+D85</f>
        <v>#REF!</v>
      </c>
      <c r="E341" s="187" t="e">
        <f>E330+E240+#REF!+E165+E85</f>
        <v>#REF!</v>
      </c>
      <c r="F341" s="187" t="e">
        <f>F330+F240+#REF!+F165+F85</f>
        <v>#REF!</v>
      </c>
      <c r="G341" s="187" t="e">
        <f>G330+G240+#REF!+G165+G85</f>
        <v>#REF!</v>
      </c>
      <c r="H341" s="187" t="e">
        <f>H330+H240+#REF!+H165+H85</f>
        <v>#REF!</v>
      </c>
      <c r="I341" s="187" t="e">
        <f>I330+I240+#REF!+I165+I85</f>
        <v>#REF!</v>
      </c>
      <c r="J341" s="187" t="e">
        <f>J330+J240+#REF!+J165+J85</f>
        <v>#REF!</v>
      </c>
      <c r="K341" s="187" t="e">
        <f>K330+K240+#REF!+K165+K85</f>
        <v>#REF!</v>
      </c>
      <c r="L341" s="241" t="e">
        <f>L330+L240+#REF!+L165+L85</f>
        <v>#REF!</v>
      </c>
      <c r="M341" s="242" t="e">
        <f>M330+M240+#REF!+M165+M85</f>
        <v>#REF!</v>
      </c>
      <c r="N341" s="242" t="e">
        <f>N330+N240+#REF!+N165+N85</f>
        <v>#REF!</v>
      </c>
      <c r="O341" s="241" t="e">
        <f>O330+O240+#REF!+O165+O85</f>
        <v>#REF!</v>
      </c>
      <c r="P341" s="241" t="e">
        <f>P330+P240+#REF!+P165+P85</f>
        <v>#REF!</v>
      </c>
      <c r="Q341" s="179"/>
    </row>
    <row r="342" spans="1:17">
      <c r="C342" s="131"/>
      <c r="D342" s="1868" t="s">
        <v>555</v>
      </c>
      <c r="E342" s="1868"/>
      <c r="F342" s="1868"/>
      <c r="G342" s="1868"/>
      <c r="H342" s="1868"/>
      <c r="I342" s="1868"/>
      <c r="J342" s="265" t="e">
        <f>J341+K341</f>
        <v>#REF!</v>
      </c>
      <c r="K342" s="45"/>
      <c r="L342" s="45"/>
      <c r="M342" s="45"/>
      <c r="N342" s="1869" t="s">
        <v>573</v>
      </c>
      <c r="O342" s="1869"/>
      <c r="P342" s="1869"/>
      <c r="Q342" s="1869"/>
    </row>
    <row r="343" spans="1:17" ht="12.75" customHeight="1">
      <c r="A343" s="266"/>
      <c r="B343" s="266"/>
      <c r="C343" s="131"/>
      <c r="D343" s="131"/>
      <c r="E343" s="131"/>
      <c r="F343" s="131"/>
      <c r="G343" s="131"/>
      <c r="H343" s="131"/>
      <c r="I343" s="131"/>
      <c r="J343" s="131"/>
      <c r="K343" s="45"/>
      <c r="L343" s="45"/>
      <c r="M343" s="45"/>
      <c r="N343" s="1848" t="s">
        <v>536</v>
      </c>
      <c r="O343" s="1848"/>
      <c r="P343" s="1848"/>
      <c r="Q343" s="1848"/>
    </row>
    <row r="344" spans="1:17">
      <c r="A344" s="266"/>
      <c r="B344" s="1870" t="s">
        <v>148</v>
      </c>
      <c r="C344" s="1870"/>
      <c r="D344" s="1870"/>
      <c r="E344" s="1870"/>
      <c r="F344" s="1870"/>
      <c r="G344" s="1870"/>
      <c r="H344" s="1870"/>
      <c r="I344" s="1870"/>
      <c r="J344" s="1870"/>
      <c r="K344" s="1870"/>
      <c r="L344" s="45"/>
      <c r="M344" s="45"/>
      <c r="N344" s="45"/>
      <c r="O344" s="45"/>
      <c r="P344" s="45"/>
      <c r="Q344" s="267"/>
    </row>
    <row r="345" spans="1:17" ht="26.25" customHeight="1">
      <c r="A345" s="266"/>
      <c r="B345" s="1871" t="s">
        <v>235</v>
      </c>
      <c r="C345" s="1871"/>
      <c r="D345" s="1871"/>
      <c r="E345" s="1871"/>
      <c r="F345" s="1871"/>
      <c r="G345" s="1871"/>
      <c r="H345" s="1871"/>
      <c r="I345" s="1871"/>
      <c r="J345" s="1871"/>
      <c r="K345" s="1871"/>
      <c r="L345" s="45"/>
      <c r="M345" s="45"/>
      <c r="N345" s="45"/>
      <c r="O345" s="45"/>
      <c r="P345" s="45"/>
      <c r="Q345" s="267"/>
    </row>
    <row r="346" spans="1:17" ht="30" customHeight="1">
      <c r="A346" s="266"/>
      <c r="B346" s="1866" t="s">
        <v>72</v>
      </c>
      <c r="C346" s="1866"/>
      <c r="D346" s="1866"/>
      <c r="E346" s="1866"/>
      <c r="F346" s="1866"/>
      <c r="G346" s="1866"/>
      <c r="H346" s="1866"/>
      <c r="I346" s="1866"/>
      <c r="J346" s="1866"/>
      <c r="K346" s="1866"/>
      <c r="L346" s="45"/>
      <c r="M346" s="45"/>
      <c r="N346" s="1842" t="s">
        <v>537</v>
      </c>
      <c r="O346" s="1842"/>
      <c r="P346" s="1842"/>
      <c r="Q346" s="1842"/>
    </row>
  </sheetData>
  <mergeCells count="30">
    <mergeCell ref="A5:A6"/>
    <mergeCell ref="B5:B6"/>
    <mergeCell ref="C5:C6"/>
    <mergeCell ref="D5:D6"/>
    <mergeCell ref="E5:E6"/>
    <mergeCell ref="A1:C1"/>
    <mergeCell ref="I1:N1"/>
    <mergeCell ref="A2:C2"/>
    <mergeCell ref="I2:N2"/>
    <mergeCell ref="A3:Q3"/>
    <mergeCell ref="Q128:Q134"/>
    <mergeCell ref="F5:F6"/>
    <mergeCell ref="G5:G6"/>
    <mergeCell ref="H5:H6"/>
    <mergeCell ref="I5:K5"/>
    <mergeCell ref="L5:L6"/>
    <mergeCell ref="M5:M6"/>
    <mergeCell ref="N5:N6"/>
    <mergeCell ref="O5:O6"/>
    <mergeCell ref="P5:P6"/>
    <mergeCell ref="Q5:Q6"/>
    <mergeCell ref="Q50:Q52"/>
    <mergeCell ref="B346:K346"/>
    <mergeCell ref="N346:Q346"/>
    <mergeCell ref="M300:Q300"/>
    <mergeCell ref="D342:I342"/>
    <mergeCell ref="N342:Q342"/>
    <mergeCell ref="N343:Q343"/>
    <mergeCell ref="B344:K344"/>
    <mergeCell ref="B345:K345"/>
  </mergeCells>
  <pageMargins left="0.2" right="0.2" top="0.5" bottom="0.42" header="0.62" footer="0.6"/>
  <pageSetup paperSize="9" scale="8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46"/>
  <sheetViews>
    <sheetView zoomScale="125" zoomScaleNormal="125" zoomScalePageLayoutView="125" workbookViewId="0">
      <pane xSplit="2" ySplit="6" topLeftCell="C67" activePane="bottomRight" state="frozen"/>
      <selection pane="topRight" activeCell="C1" sqref="C1"/>
      <selection pane="bottomLeft" activeCell="A7" sqref="A7"/>
      <selection pane="bottomRight" activeCell="G246" sqref="G246"/>
    </sheetView>
  </sheetViews>
  <sheetFormatPr baseColWidth="10" defaultColWidth="9.1640625" defaultRowHeight="13"/>
  <cols>
    <col min="1" max="1" width="5.5" style="256" customWidth="1"/>
    <col min="2" max="2" width="41.1640625" style="256" customWidth="1"/>
    <col min="3" max="3" width="7" style="248" customWidth="1"/>
    <col min="4" max="4" width="7" style="248" hidden="1" customWidth="1"/>
    <col min="5" max="5" width="6" style="248" customWidth="1"/>
    <col min="6" max="6" width="7.5" style="132" customWidth="1"/>
    <col min="7" max="7" width="6.83203125" style="248" customWidth="1"/>
    <col min="8" max="8" width="11.1640625" style="248" customWidth="1"/>
    <col min="9" max="10" width="8.33203125" style="248" customWidth="1"/>
    <col min="11" max="11" width="6.5" style="257" customWidth="1"/>
    <col min="12" max="12" width="7.6640625" style="257" customWidth="1"/>
    <col min="13" max="13" width="9.5" style="257" customWidth="1"/>
    <col min="14" max="14" width="11" style="257" customWidth="1"/>
    <col min="15" max="15" width="6.6640625" style="257" customWidth="1"/>
    <col min="16" max="16" width="9.6640625" style="257" customWidth="1"/>
    <col min="17" max="17" width="12.6640625" style="147" customWidth="1"/>
    <col min="18" max="16384" width="9.1640625" style="147"/>
  </cols>
  <sheetData>
    <row r="1" spans="1:17" ht="14.25" customHeight="1">
      <c r="A1" s="1861" t="s">
        <v>3</v>
      </c>
      <c r="B1" s="1861"/>
      <c r="C1" s="1861"/>
      <c r="D1" s="266"/>
      <c r="E1" s="266"/>
      <c r="F1" s="266"/>
      <c r="G1" s="266"/>
      <c r="H1" s="131"/>
      <c r="I1" s="1842"/>
      <c r="J1" s="1842"/>
      <c r="K1" s="1842"/>
      <c r="L1" s="1842"/>
      <c r="M1" s="1842"/>
      <c r="N1" s="1842"/>
      <c r="O1" s="46"/>
      <c r="P1" s="46"/>
      <c r="Q1" s="249" t="s">
        <v>29</v>
      </c>
    </row>
    <row r="2" spans="1:17">
      <c r="A2" s="1862" t="s">
        <v>521</v>
      </c>
      <c r="B2" s="1862"/>
      <c r="C2" s="1862"/>
      <c r="D2" s="267"/>
      <c r="E2" s="267"/>
      <c r="F2" s="266"/>
      <c r="G2" s="267"/>
      <c r="H2" s="131"/>
      <c r="I2" s="1842"/>
      <c r="J2" s="1842"/>
      <c r="K2" s="1842"/>
      <c r="L2" s="1842"/>
      <c r="M2" s="1842"/>
      <c r="N2" s="1842"/>
      <c r="O2" s="46"/>
      <c r="P2" s="46"/>
      <c r="Q2" s="46"/>
    </row>
    <row r="3" spans="1:17" ht="30" customHeight="1">
      <c r="A3" s="1878" t="s">
        <v>574</v>
      </c>
      <c r="B3" s="1878"/>
      <c r="C3" s="1878"/>
      <c r="D3" s="1878"/>
      <c r="E3" s="1878"/>
      <c r="F3" s="1878"/>
      <c r="G3" s="1878"/>
      <c r="H3" s="1878"/>
      <c r="I3" s="1878"/>
      <c r="J3" s="1878"/>
      <c r="K3" s="1878"/>
      <c r="L3" s="1878"/>
      <c r="M3" s="1878"/>
      <c r="N3" s="1878"/>
      <c r="O3" s="1878"/>
      <c r="P3" s="1878"/>
      <c r="Q3" s="1878"/>
    </row>
    <row r="4" spans="1:17">
      <c r="A4" s="52"/>
      <c r="B4" s="52"/>
      <c r="C4" s="53"/>
      <c r="D4" s="53"/>
      <c r="E4" s="53"/>
      <c r="F4" s="53"/>
      <c r="G4" s="53"/>
      <c r="H4" s="53"/>
      <c r="I4" s="53"/>
      <c r="J4" s="53"/>
      <c r="K4" s="52"/>
      <c r="L4" s="52"/>
      <c r="M4" s="52"/>
      <c r="N4" s="52" t="s">
        <v>19</v>
      </c>
      <c r="O4" s="52"/>
      <c r="P4" s="52"/>
      <c r="Q4" s="53"/>
    </row>
    <row r="5" spans="1:17" ht="133.5" customHeight="1">
      <c r="A5" s="1879" t="s">
        <v>0</v>
      </c>
      <c r="B5" s="1873" t="s">
        <v>169</v>
      </c>
      <c r="C5" s="1873" t="s">
        <v>202</v>
      </c>
      <c r="D5" s="1873" t="s">
        <v>203</v>
      </c>
      <c r="E5" s="1873" t="s">
        <v>150</v>
      </c>
      <c r="F5" s="1873" t="s">
        <v>157</v>
      </c>
      <c r="G5" s="1873" t="s">
        <v>206</v>
      </c>
      <c r="H5" s="1873" t="s">
        <v>205</v>
      </c>
      <c r="I5" s="1875" t="s">
        <v>207</v>
      </c>
      <c r="J5" s="1876"/>
      <c r="K5" s="1877"/>
      <c r="L5" s="1873" t="s">
        <v>208</v>
      </c>
      <c r="M5" s="1873" t="s">
        <v>209</v>
      </c>
      <c r="N5" s="1873" t="s">
        <v>38</v>
      </c>
      <c r="O5" s="1873" t="s">
        <v>84</v>
      </c>
      <c r="P5" s="1873" t="s">
        <v>85</v>
      </c>
      <c r="Q5" s="1873" t="s">
        <v>2</v>
      </c>
    </row>
    <row r="6" spans="1:17" ht="50" customHeight="1">
      <c r="A6" s="1880"/>
      <c r="B6" s="1874"/>
      <c r="C6" s="1874"/>
      <c r="D6" s="1874"/>
      <c r="E6" s="1874"/>
      <c r="F6" s="1874"/>
      <c r="G6" s="1874"/>
      <c r="H6" s="1874"/>
      <c r="I6" s="146" t="s">
        <v>158</v>
      </c>
      <c r="J6" s="146" t="s">
        <v>99</v>
      </c>
      <c r="K6" s="146" t="s">
        <v>156</v>
      </c>
      <c r="L6" s="1874"/>
      <c r="M6" s="1874"/>
      <c r="N6" s="1874"/>
      <c r="O6" s="1874"/>
      <c r="P6" s="1874"/>
      <c r="Q6" s="1874"/>
    </row>
    <row r="7" spans="1:17" s="250" customFormat="1" ht="30" customHeight="1">
      <c r="A7" s="149" t="s">
        <v>113</v>
      </c>
      <c r="B7" s="150" t="s">
        <v>114</v>
      </c>
      <c r="C7" s="150" t="s">
        <v>115</v>
      </c>
      <c r="D7" s="151" t="s">
        <v>116</v>
      </c>
      <c r="E7" s="151" t="s">
        <v>116</v>
      </c>
      <c r="F7" s="151" t="s">
        <v>117</v>
      </c>
      <c r="G7" s="151" t="s">
        <v>118</v>
      </c>
      <c r="H7" s="151" t="s">
        <v>580</v>
      </c>
      <c r="I7" s="151" t="s">
        <v>121</v>
      </c>
      <c r="J7" s="151" t="s">
        <v>123</v>
      </c>
      <c r="K7" s="151" t="s">
        <v>132</v>
      </c>
      <c r="L7" s="151" t="s">
        <v>124</v>
      </c>
      <c r="M7" s="151" t="s">
        <v>125</v>
      </c>
      <c r="N7" s="151" t="s">
        <v>126</v>
      </c>
      <c r="O7" s="152" t="s">
        <v>127</v>
      </c>
      <c r="P7" s="152" t="s">
        <v>128</v>
      </c>
      <c r="Q7" s="151" t="s">
        <v>204</v>
      </c>
    </row>
    <row r="8" spans="1:17" ht="25" customHeight="1">
      <c r="A8" s="157" t="s">
        <v>5</v>
      </c>
      <c r="B8" s="157" t="s">
        <v>292</v>
      </c>
      <c r="C8" s="158"/>
      <c r="D8" s="158"/>
      <c r="E8" s="158"/>
      <c r="F8" s="243"/>
      <c r="G8" s="158"/>
      <c r="H8" s="158"/>
      <c r="I8" s="158"/>
      <c r="J8" s="158"/>
      <c r="K8" s="157"/>
      <c r="L8" s="157"/>
      <c r="M8" s="157"/>
      <c r="N8" s="157"/>
      <c r="O8" s="157"/>
      <c r="P8" s="157"/>
      <c r="Q8" s="157"/>
    </row>
    <row r="9" spans="1:17" ht="25" customHeight="1">
      <c r="A9" s="168" t="s">
        <v>6</v>
      </c>
      <c r="B9" s="168" t="s">
        <v>575</v>
      </c>
      <c r="C9" s="169"/>
      <c r="D9" s="169"/>
      <c r="E9" s="169"/>
      <c r="F9" s="244"/>
      <c r="G9" s="169"/>
      <c r="H9" s="169"/>
      <c r="I9" s="169"/>
      <c r="J9" s="169"/>
      <c r="K9" s="168"/>
      <c r="L9" s="168"/>
      <c r="M9" s="168"/>
      <c r="N9" s="168"/>
      <c r="O9" s="168"/>
      <c r="P9" s="168"/>
      <c r="Q9" s="168"/>
    </row>
    <row r="10" spans="1:17" ht="25" customHeight="1">
      <c r="A10" s="168">
        <v>1</v>
      </c>
      <c r="B10" s="168" t="s">
        <v>4</v>
      </c>
      <c r="C10" s="169"/>
      <c r="D10" s="169"/>
      <c r="E10" s="169"/>
      <c r="F10" s="244"/>
      <c r="G10" s="169"/>
      <c r="H10" s="169"/>
      <c r="I10" s="169"/>
      <c r="J10" s="169"/>
      <c r="K10" s="168"/>
      <c r="L10" s="168"/>
      <c r="M10" s="168"/>
      <c r="N10" s="168"/>
      <c r="O10" s="168"/>
      <c r="P10" s="168"/>
      <c r="Q10" s="168"/>
    </row>
    <row r="11" spans="1:17" s="50" customFormat="1" ht="25" customHeight="1">
      <c r="A11" s="170" t="s">
        <v>145</v>
      </c>
      <c r="B11" s="171" t="s">
        <v>159</v>
      </c>
      <c r="C11" s="172"/>
      <c r="D11" s="172"/>
      <c r="E11" s="172"/>
      <c r="F11" s="268"/>
      <c r="G11" s="172"/>
      <c r="H11" s="172"/>
      <c r="I11" s="173"/>
      <c r="J11" s="173"/>
      <c r="K11" s="173"/>
      <c r="L11" s="173"/>
      <c r="M11" s="173"/>
      <c r="N11" s="173"/>
      <c r="O11" s="173"/>
      <c r="P11" s="173"/>
      <c r="Q11" s="174"/>
    </row>
    <row r="12" spans="1:17" s="50" customFormat="1" ht="25" customHeight="1">
      <c r="A12" s="269" t="s">
        <v>224</v>
      </c>
      <c r="B12" s="296" t="s">
        <v>248</v>
      </c>
      <c r="C12" s="272">
        <v>2</v>
      </c>
      <c r="D12" s="297">
        <v>1</v>
      </c>
      <c r="E12" s="272">
        <v>1</v>
      </c>
      <c r="F12" s="180">
        <f>I12+J12+K12</f>
        <v>33</v>
      </c>
      <c r="G12" s="268">
        <v>40</v>
      </c>
      <c r="H12" s="268">
        <f>C12*D12*E12*G12</f>
        <v>80</v>
      </c>
      <c r="I12" s="177">
        <f>IF(G12&lt;70, C12*E12*16.5*1, C12*E12*16.5*1.3)</f>
        <v>33</v>
      </c>
      <c r="J12" s="173"/>
      <c r="K12" s="173"/>
      <c r="L12" s="173"/>
      <c r="M12" s="173"/>
      <c r="N12" s="173"/>
      <c r="O12" s="173"/>
      <c r="P12" s="173"/>
      <c r="Q12" s="174"/>
    </row>
    <row r="13" spans="1:17" s="50" customFormat="1" ht="25" customHeight="1">
      <c r="A13" s="269" t="s">
        <v>225</v>
      </c>
      <c r="B13" s="296" t="s">
        <v>619</v>
      </c>
      <c r="C13" s="272">
        <v>1</v>
      </c>
      <c r="D13" s="272">
        <v>1.4</v>
      </c>
      <c r="E13" s="272">
        <v>14</v>
      </c>
      <c r="F13" s="180">
        <f>I13+J13+K13</f>
        <v>231</v>
      </c>
      <c r="G13" s="268">
        <v>20</v>
      </c>
      <c r="H13" s="268">
        <f t="shared" ref="H13:H44" si="0">C13*D13*E13*G13</f>
        <v>391.99999999999994</v>
      </c>
      <c r="I13" s="177">
        <f t="shared" ref="I13:I45" si="1">IF(G13&lt;70, C13*E13*16.5*1, C13*E13*16.5*1.3)</f>
        <v>231</v>
      </c>
      <c r="J13" s="173"/>
      <c r="K13" s="173"/>
      <c r="L13" s="173"/>
      <c r="M13" s="173"/>
      <c r="N13" s="173"/>
      <c r="O13" s="173"/>
      <c r="P13" s="173"/>
      <c r="Q13" s="174"/>
    </row>
    <row r="14" spans="1:17" s="50" customFormat="1" ht="25" customHeight="1">
      <c r="A14" s="269" t="s">
        <v>226</v>
      </c>
      <c r="B14" s="296" t="s">
        <v>249</v>
      </c>
      <c r="C14" s="272">
        <v>2</v>
      </c>
      <c r="D14" s="272">
        <v>1</v>
      </c>
      <c r="E14" s="272">
        <v>1</v>
      </c>
      <c r="F14" s="180">
        <f t="shared" ref="F14:F46" si="2">I14+J14+K14</f>
        <v>42.9</v>
      </c>
      <c r="G14" s="268">
        <v>80</v>
      </c>
      <c r="H14" s="268">
        <f t="shared" si="0"/>
        <v>160</v>
      </c>
      <c r="I14" s="177">
        <f t="shared" si="1"/>
        <v>42.9</v>
      </c>
      <c r="J14" s="173"/>
      <c r="K14" s="173"/>
      <c r="L14" s="173"/>
      <c r="M14" s="173"/>
      <c r="N14" s="173"/>
      <c r="O14" s="173"/>
      <c r="P14" s="173"/>
      <c r="Q14" s="174"/>
    </row>
    <row r="15" spans="1:17" s="50" customFormat="1" ht="25" customHeight="1">
      <c r="A15" s="269" t="s">
        <v>227</v>
      </c>
      <c r="B15" s="296" t="s">
        <v>620</v>
      </c>
      <c r="C15" s="272">
        <v>2</v>
      </c>
      <c r="D15" s="272">
        <v>1</v>
      </c>
      <c r="E15" s="272">
        <v>3</v>
      </c>
      <c r="F15" s="180">
        <f t="shared" si="2"/>
        <v>128.70000000000002</v>
      </c>
      <c r="G15" s="268">
        <v>70</v>
      </c>
      <c r="H15" s="268">
        <f t="shared" si="0"/>
        <v>420</v>
      </c>
      <c r="I15" s="177">
        <f t="shared" si="1"/>
        <v>128.70000000000002</v>
      </c>
      <c r="J15" s="173"/>
      <c r="K15" s="173"/>
      <c r="L15" s="173"/>
      <c r="M15" s="173"/>
      <c r="N15" s="173"/>
      <c r="O15" s="173"/>
      <c r="P15" s="173"/>
      <c r="Q15" s="174"/>
    </row>
    <row r="16" spans="1:17" s="50" customFormat="1" ht="25" customHeight="1">
      <c r="A16" s="269" t="s">
        <v>228</v>
      </c>
      <c r="B16" s="298" t="s">
        <v>621</v>
      </c>
      <c r="C16" s="272">
        <v>2</v>
      </c>
      <c r="D16" s="272">
        <v>1</v>
      </c>
      <c r="E16" s="272">
        <v>3</v>
      </c>
      <c r="F16" s="180">
        <f t="shared" si="2"/>
        <v>128.70000000000002</v>
      </c>
      <c r="G16" s="268">
        <v>70</v>
      </c>
      <c r="H16" s="268">
        <f t="shared" si="0"/>
        <v>420</v>
      </c>
      <c r="I16" s="177">
        <f t="shared" si="1"/>
        <v>128.70000000000002</v>
      </c>
      <c r="J16" s="173"/>
      <c r="K16" s="173"/>
      <c r="L16" s="173"/>
      <c r="M16" s="173"/>
      <c r="N16" s="173"/>
      <c r="O16" s="173"/>
      <c r="P16" s="173"/>
      <c r="Q16" s="174"/>
    </row>
    <row r="17" spans="1:17" s="50" customFormat="1" ht="25" customHeight="1">
      <c r="A17" s="269" t="s">
        <v>229</v>
      </c>
      <c r="B17" s="296" t="s">
        <v>257</v>
      </c>
      <c r="C17" s="272">
        <v>5</v>
      </c>
      <c r="D17" s="272">
        <v>1</v>
      </c>
      <c r="E17" s="272">
        <v>4</v>
      </c>
      <c r="F17" s="180">
        <f t="shared" si="2"/>
        <v>429</v>
      </c>
      <c r="G17" s="268">
        <v>70</v>
      </c>
      <c r="H17" s="268">
        <f t="shared" si="0"/>
        <v>1400</v>
      </c>
      <c r="I17" s="177">
        <f t="shared" si="1"/>
        <v>429</v>
      </c>
      <c r="J17" s="173"/>
      <c r="K17" s="173"/>
      <c r="L17" s="173"/>
      <c r="M17" s="173"/>
      <c r="N17" s="173"/>
      <c r="O17" s="173"/>
      <c r="P17" s="173"/>
      <c r="Q17" s="174"/>
    </row>
    <row r="18" spans="1:17" s="50" customFormat="1" ht="25" customHeight="1">
      <c r="A18" s="269" t="s">
        <v>280</v>
      </c>
      <c r="B18" s="296" t="s">
        <v>247</v>
      </c>
      <c r="C18" s="271">
        <v>2</v>
      </c>
      <c r="D18" s="297">
        <v>1</v>
      </c>
      <c r="E18" s="271">
        <v>1</v>
      </c>
      <c r="F18" s="180">
        <f t="shared" si="2"/>
        <v>33</v>
      </c>
      <c r="G18" s="177">
        <v>40</v>
      </c>
      <c r="H18" s="268">
        <f t="shared" si="0"/>
        <v>80</v>
      </c>
      <c r="I18" s="177">
        <f t="shared" si="1"/>
        <v>33</v>
      </c>
      <c r="J18" s="173"/>
      <c r="K18" s="173"/>
      <c r="L18" s="173"/>
      <c r="M18" s="173"/>
      <c r="N18" s="173"/>
      <c r="O18" s="173"/>
      <c r="P18" s="173"/>
      <c r="Q18" s="174"/>
    </row>
    <row r="19" spans="1:17" s="50" customFormat="1" ht="25" customHeight="1">
      <c r="A19" s="269" t="s">
        <v>281</v>
      </c>
      <c r="B19" s="298" t="s">
        <v>622</v>
      </c>
      <c r="C19" s="272">
        <v>2</v>
      </c>
      <c r="D19" s="272">
        <v>1</v>
      </c>
      <c r="E19" s="272">
        <v>2</v>
      </c>
      <c r="F19" s="180">
        <f t="shared" si="2"/>
        <v>85.8</v>
      </c>
      <c r="G19" s="268">
        <v>80</v>
      </c>
      <c r="H19" s="268">
        <f t="shared" si="0"/>
        <v>320</v>
      </c>
      <c r="I19" s="177">
        <f t="shared" si="1"/>
        <v>85.8</v>
      </c>
      <c r="J19" s="173"/>
      <c r="K19" s="173"/>
      <c r="L19" s="173"/>
      <c r="M19" s="173"/>
      <c r="N19" s="173"/>
      <c r="O19" s="173"/>
      <c r="P19" s="173"/>
      <c r="Q19" s="174"/>
    </row>
    <row r="20" spans="1:17" s="50" customFormat="1" ht="25" customHeight="1">
      <c r="A20" s="269" t="s">
        <v>282</v>
      </c>
      <c r="B20" s="296" t="s">
        <v>623</v>
      </c>
      <c r="C20" s="272">
        <v>1</v>
      </c>
      <c r="D20" s="272">
        <v>1.4</v>
      </c>
      <c r="E20" s="272">
        <v>6</v>
      </c>
      <c r="F20" s="180">
        <f t="shared" si="2"/>
        <v>99</v>
      </c>
      <c r="G20" s="268">
        <v>20</v>
      </c>
      <c r="H20" s="268">
        <f t="shared" si="0"/>
        <v>167.99999999999997</v>
      </c>
      <c r="I20" s="177">
        <f t="shared" si="1"/>
        <v>99</v>
      </c>
      <c r="J20" s="173"/>
      <c r="K20" s="173"/>
      <c r="L20" s="173"/>
      <c r="M20" s="173"/>
      <c r="N20" s="173"/>
      <c r="O20" s="173"/>
      <c r="P20" s="173"/>
      <c r="Q20" s="174"/>
    </row>
    <row r="21" spans="1:17" s="50" customFormat="1" ht="25" customHeight="1">
      <c r="A21" s="269" t="s">
        <v>283</v>
      </c>
      <c r="B21" s="296" t="s">
        <v>624</v>
      </c>
      <c r="C21" s="272">
        <v>3</v>
      </c>
      <c r="D21" s="272">
        <v>1</v>
      </c>
      <c r="E21" s="272">
        <v>2</v>
      </c>
      <c r="F21" s="180">
        <f t="shared" si="2"/>
        <v>128.70000000000002</v>
      </c>
      <c r="G21" s="268">
        <v>80</v>
      </c>
      <c r="H21" s="268">
        <f t="shared" si="0"/>
        <v>480</v>
      </c>
      <c r="I21" s="177">
        <f t="shared" si="1"/>
        <v>128.70000000000002</v>
      </c>
      <c r="J21" s="178"/>
      <c r="K21" s="178"/>
      <c r="L21" s="178"/>
      <c r="M21" s="178"/>
      <c r="N21" s="178"/>
      <c r="O21" s="178"/>
      <c r="P21" s="178"/>
      <c r="Q21" s="179"/>
    </row>
    <row r="22" spans="1:17" s="50" customFormat="1" ht="25" customHeight="1">
      <c r="A22" s="269" t="s">
        <v>284</v>
      </c>
      <c r="B22" s="296" t="s">
        <v>250</v>
      </c>
      <c r="C22" s="272">
        <v>2</v>
      </c>
      <c r="D22" s="272">
        <v>1</v>
      </c>
      <c r="E22" s="272">
        <v>1</v>
      </c>
      <c r="F22" s="180">
        <f t="shared" si="2"/>
        <v>33</v>
      </c>
      <c r="G22" s="268">
        <v>40</v>
      </c>
      <c r="H22" s="268">
        <f t="shared" si="0"/>
        <v>80</v>
      </c>
      <c r="I22" s="177">
        <f t="shared" si="1"/>
        <v>33</v>
      </c>
      <c r="J22" s="178"/>
      <c r="K22" s="178"/>
      <c r="L22" s="178"/>
      <c r="M22" s="178"/>
      <c r="N22" s="178"/>
      <c r="O22" s="178"/>
      <c r="P22" s="178"/>
      <c r="Q22" s="179"/>
    </row>
    <row r="23" spans="1:17" s="50" customFormat="1" ht="25" customHeight="1">
      <c r="A23" s="269" t="s">
        <v>287</v>
      </c>
      <c r="B23" s="296" t="s">
        <v>251</v>
      </c>
      <c r="C23" s="272">
        <v>2</v>
      </c>
      <c r="D23" s="272">
        <v>1</v>
      </c>
      <c r="E23" s="272">
        <v>1</v>
      </c>
      <c r="F23" s="180">
        <f t="shared" si="2"/>
        <v>33</v>
      </c>
      <c r="G23" s="268">
        <v>40</v>
      </c>
      <c r="H23" s="268">
        <f t="shared" si="0"/>
        <v>80</v>
      </c>
      <c r="I23" s="177">
        <f t="shared" si="1"/>
        <v>33</v>
      </c>
      <c r="J23" s="178"/>
      <c r="K23" s="178"/>
      <c r="L23" s="178"/>
      <c r="M23" s="178"/>
      <c r="N23" s="178"/>
      <c r="O23" s="178"/>
      <c r="P23" s="178"/>
      <c r="Q23" s="179"/>
    </row>
    <row r="24" spans="1:17" s="50" customFormat="1" ht="25" customHeight="1">
      <c r="A24" s="269" t="s">
        <v>288</v>
      </c>
      <c r="B24" s="296" t="s">
        <v>252</v>
      </c>
      <c r="C24" s="272">
        <v>4</v>
      </c>
      <c r="D24" s="272">
        <v>1.4</v>
      </c>
      <c r="E24" s="272">
        <v>6</v>
      </c>
      <c r="F24" s="180">
        <f t="shared" si="2"/>
        <v>240</v>
      </c>
      <c r="G24" s="268">
        <v>20</v>
      </c>
      <c r="H24" s="268">
        <f t="shared" si="0"/>
        <v>671.99999999999989</v>
      </c>
      <c r="I24" s="177">
        <f>E24*G24*2</f>
        <v>240</v>
      </c>
      <c r="J24" s="178"/>
      <c r="K24" s="178"/>
      <c r="L24" s="178"/>
      <c r="M24" s="178"/>
      <c r="N24" s="178"/>
      <c r="O24" s="178"/>
      <c r="P24" s="178"/>
      <c r="Q24" s="179"/>
    </row>
    <row r="25" spans="1:17" s="50" customFormat="1" ht="25" customHeight="1">
      <c r="A25" s="269" t="s">
        <v>289</v>
      </c>
      <c r="B25" s="296" t="s">
        <v>253</v>
      </c>
      <c r="C25" s="272">
        <v>3</v>
      </c>
      <c r="D25" s="272">
        <v>1.3</v>
      </c>
      <c r="E25" s="272">
        <v>7</v>
      </c>
      <c r="F25" s="180">
        <f t="shared" si="2"/>
        <v>346.5</v>
      </c>
      <c r="G25" s="268">
        <v>20</v>
      </c>
      <c r="H25" s="268">
        <f t="shared" si="0"/>
        <v>546.00000000000011</v>
      </c>
      <c r="I25" s="177">
        <f t="shared" si="1"/>
        <v>346.5</v>
      </c>
      <c r="J25" s="178"/>
      <c r="K25" s="178"/>
      <c r="L25" s="178"/>
      <c r="M25" s="178"/>
      <c r="N25" s="178"/>
      <c r="O25" s="178"/>
      <c r="P25" s="178"/>
      <c r="Q25" s="179"/>
    </row>
    <row r="26" spans="1:17" s="50" customFormat="1" ht="25" customHeight="1">
      <c r="A26" s="269" t="s">
        <v>290</v>
      </c>
      <c r="B26" s="296" t="s">
        <v>254</v>
      </c>
      <c r="C26" s="272">
        <v>3</v>
      </c>
      <c r="D26" s="272">
        <v>1</v>
      </c>
      <c r="E26" s="272">
        <v>2</v>
      </c>
      <c r="F26" s="180">
        <f t="shared" si="2"/>
        <v>128.70000000000002</v>
      </c>
      <c r="G26" s="268">
        <v>70</v>
      </c>
      <c r="H26" s="268">
        <f t="shared" si="0"/>
        <v>420</v>
      </c>
      <c r="I26" s="177">
        <f t="shared" si="1"/>
        <v>128.70000000000002</v>
      </c>
      <c r="J26" s="178"/>
      <c r="K26" s="178"/>
      <c r="L26" s="178"/>
      <c r="M26" s="178"/>
      <c r="N26" s="178"/>
      <c r="O26" s="178"/>
      <c r="P26" s="178"/>
      <c r="Q26" s="179"/>
    </row>
    <row r="27" spans="1:17" s="50" customFormat="1" ht="25" customHeight="1">
      <c r="A27" s="269" t="s">
        <v>389</v>
      </c>
      <c r="B27" s="299" t="s">
        <v>625</v>
      </c>
      <c r="C27" s="272">
        <v>3</v>
      </c>
      <c r="D27" s="272">
        <v>1</v>
      </c>
      <c r="E27" s="272">
        <v>4</v>
      </c>
      <c r="F27" s="180">
        <f t="shared" si="2"/>
        <v>257.40000000000003</v>
      </c>
      <c r="G27" s="268">
        <v>70</v>
      </c>
      <c r="H27" s="268">
        <f t="shared" si="0"/>
        <v>840</v>
      </c>
      <c r="I27" s="177">
        <f t="shared" si="1"/>
        <v>257.40000000000003</v>
      </c>
      <c r="J27" s="178"/>
      <c r="K27" s="178"/>
      <c r="L27" s="178"/>
      <c r="M27" s="178"/>
      <c r="N27" s="178"/>
      <c r="O27" s="178"/>
      <c r="P27" s="178"/>
      <c r="Q27" s="179"/>
    </row>
    <row r="28" spans="1:17" s="50" customFormat="1" ht="25" customHeight="1">
      <c r="A28" s="269" t="s">
        <v>390</v>
      </c>
      <c r="B28" s="296" t="s">
        <v>626</v>
      </c>
      <c r="C28" s="272">
        <v>5</v>
      </c>
      <c r="D28" s="272">
        <v>1.4</v>
      </c>
      <c r="E28" s="272">
        <v>6</v>
      </c>
      <c r="F28" s="180">
        <f t="shared" si="2"/>
        <v>495</v>
      </c>
      <c r="G28" s="268">
        <v>45</v>
      </c>
      <c r="H28" s="268">
        <f t="shared" si="0"/>
        <v>1890</v>
      </c>
      <c r="I28" s="177">
        <f t="shared" si="1"/>
        <v>495</v>
      </c>
      <c r="J28" s="178"/>
      <c r="K28" s="178"/>
      <c r="L28" s="178"/>
      <c r="M28" s="178"/>
      <c r="N28" s="178"/>
      <c r="O28" s="178"/>
      <c r="P28" s="178"/>
      <c r="Q28" s="179"/>
    </row>
    <row r="29" spans="1:17" s="50" customFormat="1" ht="25" customHeight="1">
      <c r="A29" s="269" t="s">
        <v>391</v>
      </c>
      <c r="B29" s="296" t="s">
        <v>258</v>
      </c>
      <c r="C29" s="272">
        <v>2</v>
      </c>
      <c r="D29" s="272">
        <v>1</v>
      </c>
      <c r="E29" s="272">
        <v>4</v>
      </c>
      <c r="F29" s="180">
        <f t="shared" si="2"/>
        <v>132</v>
      </c>
      <c r="G29" s="268">
        <v>40</v>
      </c>
      <c r="H29" s="268">
        <f t="shared" si="0"/>
        <v>320</v>
      </c>
      <c r="I29" s="177">
        <f t="shared" si="1"/>
        <v>132</v>
      </c>
      <c r="J29" s="178"/>
      <c r="K29" s="178"/>
      <c r="L29" s="178"/>
      <c r="M29" s="178"/>
      <c r="N29" s="178"/>
      <c r="O29" s="178"/>
      <c r="P29" s="178"/>
      <c r="Q29" s="179"/>
    </row>
    <row r="30" spans="1:17" s="50" customFormat="1" ht="25" customHeight="1">
      <c r="A30" s="269" t="s">
        <v>392</v>
      </c>
      <c r="B30" s="296" t="s">
        <v>627</v>
      </c>
      <c r="C30" s="272">
        <v>2</v>
      </c>
      <c r="D30" s="272">
        <v>1</v>
      </c>
      <c r="E30" s="272">
        <v>2</v>
      </c>
      <c r="F30" s="180">
        <f t="shared" si="2"/>
        <v>66</v>
      </c>
      <c r="G30" s="268">
        <v>65</v>
      </c>
      <c r="H30" s="268">
        <f t="shared" si="0"/>
        <v>260</v>
      </c>
      <c r="I30" s="177">
        <f t="shared" si="1"/>
        <v>66</v>
      </c>
      <c r="J30" s="178"/>
      <c r="K30" s="178"/>
      <c r="L30" s="178"/>
      <c r="M30" s="178"/>
      <c r="N30" s="178"/>
      <c r="O30" s="178"/>
      <c r="P30" s="178"/>
      <c r="Q30" s="179"/>
    </row>
    <row r="31" spans="1:17" s="50" customFormat="1" ht="25" customHeight="1">
      <c r="A31" s="269" t="s">
        <v>393</v>
      </c>
      <c r="B31" s="296" t="s">
        <v>628</v>
      </c>
      <c r="C31" s="272">
        <v>4</v>
      </c>
      <c r="D31" s="272">
        <v>1</v>
      </c>
      <c r="E31" s="272">
        <v>2</v>
      </c>
      <c r="F31" s="180">
        <f t="shared" si="2"/>
        <v>171.6</v>
      </c>
      <c r="G31" s="268">
        <v>70</v>
      </c>
      <c r="H31" s="268">
        <f t="shared" si="0"/>
        <v>560</v>
      </c>
      <c r="I31" s="177">
        <f t="shared" si="1"/>
        <v>171.6</v>
      </c>
      <c r="J31" s="178"/>
      <c r="K31" s="178"/>
      <c r="L31" s="178"/>
      <c r="M31" s="178"/>
      <c r="N31" s="178"/>
      <c r="O31" s="178"/>
      <c r="P31" s="178"/>
      <c r="Q31" s="179"/>
    </row>
    <row r="32" spans="1:17" s="50" customFormat="1" ht="25" customHeight="1">
      <c r="A32" s="269" t="s">
        <v>394</v>
      </c>
      <c r="B32" s="296" t="s">
        <v>629</v>
      </c>
      <c r="C32" s="272">
        <v>2</v>
      </c>
      <c r="D32" s="272">
        <v>1.08</v>
      </c>
      <c r="E32" s="272">
        <v>4</v>
      </c>
      <c r="F32" s="180">
        <f t="shared" si="2"/>
        <v>132</v>
      </c>
      <c r="G32" s="268">
        <v>50</v>
      </c>
      <c r="H32" s="268">
        <f t="shared" si="0"/>
        <v>432</v>
      </c>
      <c r="I32" s="177">
        <f t="shared" si="1"/>
        <v>132</v>
      </c>
      <c r="J32" s="178"/>
      <c r="K32" s="178"/>
      <c r="L32" s="178"/>
      <c r="M32" s="178"/>
      <c r="N32" s="178"/>
      <c r="O32" s="178"/>
      <c r="P32" s="178"/>
      <c r="Q32" s="179"/>
    </row>
    <row r="33" spans="1:17" s="50" customFormat="1" ht="25" customHeight="1">
      <c r="A33" s="269" t="s">
        <v>395</v>
      </c>
      <c r="B33" s="300" t="s">
        <v>260</v>
      </c>
      <c r="C33" s="301">
        <v>4</v>
      </c>
      <c r="D33" s="272">
        <v>1.08</v>
      </c>
      <c r="E33" s="302">
        <v>2</v>
      </c>
      <c r="F33" s="180">
        <f t="shared" si="2"/>
        <v>171.6</v>
      </c>
      <c r="G33" s="181">
        <v>70</v>
      </c>
      <c r="H33" s="268">
        <f t="shared" si="0"/>
        <v>604.80000000000007</v>
      </c>
      <c r="I33" s="177">
        <f t="shared" si="1"/>
        <v>171.6</v>
      </c>
      <c r="J33" s="178"/>
      <c r="K33" s="178"/>
      <c r="L33" s="178"/>
      <c r="M33" s="178"/>
      <c r="N33" s="178"/>
      <c r="O33" s="178"/>
      <c r="P33" s="178"/>
      <c r="Q33" s="179"/>
    </row>
    <row r="34" spans="1:17" s="50" customFormat="1" ht="25" customHeight="1">
      <c r="A34" s="269" t="s">
        <v>396</v>
      </c>
      <c r="B34" s="303" t="s">
        <v>630</v>
      </c>
      <c r="C34" s="272">
        <v>3</v>
      </c>
      <c r="D34" s="272">
        <v>1</v>
      </c>
      <c r="E34" s="272">
        <v>2</v>
      </c>
      <c r="F34" s="180">
        <f t="shared" si="2"/>
        <v>128.70000000000002</v>
      </c>
      <c r="G34" s="268">
        <v>80</v>
      </c>
      <c r="H34" s="268">
        <f t="shared" si="0"/>
        <v>480</v>
      </c>
      <c r="I34" s="177">
        <f t="shared" si="1"/>
        <v>128.70000000000002</v>
      </c>
      <c r="J34" s="178"/>
      <c r="K34" s="178"/>
      <c r="L34" s="178"/>
      <c r="M34" s="178"/>
      <c r="N34" s="178"/>
      <c r="O34" s="178"/>
      <c r="P34" s="178"/>
      <c r="Q34" s="179"/>
    </row>
    <row r="35" spans="1:17" s="50" customFormat="1" ht="25" customHeight="1">
      <c r="A35" s="269" t="s">
        <v>397</v>
      </c>
      <c r="B35" s="296" t="s">
        <v>631</v>
      </c>
      <c r="C35" s="272">
        <v>3</v>
      </c>
      <c r="D35" s="272">
        <v>1</v>
      </c>
      <c r="E35" s="272">
        <v>2</v>
      </c>
      <c r="F35" s="180">
        <f t="shared" si="2"/>
        <v>128.70000000000002</v>
      </c>
      <c r="G35" s="268">
        <v>70</v>
      </c>
      <c r="H35" s="268">
        <f t="shared" si="0"/>
        <v>420</v>
      </c>
      <c r="I35" s="177">
        <f t="shared" si="1"/>
        <v>128.70000000000002</v>
      </c>
      <c r="J35" s="178"/>
      <c r="K35" s="178"/>
      <c r="L35" s="178"/>
      <c r="M35" s="178"/>
      <c r="N35" s="178"/>
      <c r="O35" s="178"/>
      <c r="P35" s="178"/>
      <c r="Q35" s="179"/>
    </row>
    <row r="36" spans="1:17" s="50" customFormat="1" ht="25" customHeight="1">
      <c r="A36" s="269" t="s">
        <v>398</v>
      </c>
      <c r="B36" s="296" t="s">
        <v>262</v>
      </c>
      <c r="C36" s="272">
        <v>3</v>
      </c>
      <c r="D36" s="272">
        <v>1</v>
      </c>
      <c r="E36" s="272">
        <v>1</v>
      </c>
      <c r="F36" s="180">
        <f t="shared" si="2"/>
        <v>49.5</v>
      </c>
      <c r="G36" s="268">
        <v>21</v>
      </c>
      <c r="H36" s="268">
        <f t="shared" si="0"/>
        <v>63</v>
      </c>
      <c r="I36" s="177">
        <f t="shared" si="1"/>
        <v>49.5</v>
      </c>
      <c r="J36" s="178"/>
      <c r="K36" s="178"/>
      <c r="L36" s="178"/>
      <c r="M36" s="178"/>
      <c r="N36" s="178"/>
      <c r="O36" s="178"/>
      <c r="P36" s="178"/>
      <c r="Q36" s="179"/>
    </row>
    <row r="37" spans="1:17" s="50" customFormat="1" ht="25" customHeight="1">
      <c r="A37" s="269" t="s">
        <v>399</v>
      </c>
      <c r="B37" s="296" t="s">
        <v>632</v>
      </c>
      <c r="C37" s="272">
        <v>4</v>
      </c>
      <c r="D37" s="272">
        <v>1</v>
      </c>
      <c r="E37" s="272">
        <v>5</v>
      </c>
      <c r="F37" s="180">
        <f t="shared" si="2"/>
        <v>429</v>
      </c>
      <c r="G37" s="268">
        <v>70</v>
      </c>
      <c r="H37" s="268">
        <f t="shared" si="0"/>
        <v>1400</v>
      </c>
      <c r="I37" s="177">
        <f t="shared" si="1"/>
        <v>429</v>
      </c>
      <c r="J37" s="178"/>
      <c r="K37" s="178"/>
      <c r="L37" s="178"/>
      <c r="M37" s="178"/>
      <c r="N37" s="178"/>
      <c r="O37" s="178"/>
      <c r="P37" s="178"/>
      <c r="Q37" s="179"/>
    </row>
    <row r="38" spans="1:17" s="50" customFormat="1" ht="25" customHeight="1">
      <c r="A38" s="269" t="s">
        <v>400</v>
      </c>
      <c r="B38" s="296" t="s">
        <v>626</v>
      </c>
      <c r="C38" s="272">
        <v>2</v>
      </c>
      <c r="D38" s="272">
        <v>1.4</v>
      </c>
      <c r="E38" s="272">
        <v>6</v>
      </c>
      <c r="F38" s="180">
        <f t="shared" si="2"/>
        <v>90</v>
      </c>
      <c r="G38" s="268">
        <v>20</v>
      </c>
      <c r="H38" s="268">
        <f t="shared" si="0"/>
        <v>335.99999999999994</v>
      </c>
      <c r="I38" s="177">
        <f>E38*15</f>
        <v>90</v>
      </c>
      <c r="J38" s="178"/>
      <c r="K38" s="178"/>
      <c r="L38" s="178"/>
      <c r="M38" s="178"/>
      <c r="N38" s="178"/>
      <c r="O38" s="178"/>
      <c r="P38" s="178"/>
      <c r="Q38" s="179"/>
    </row>
    <row r="39" spans="1:17" s="50" customFormat="1" ht="25" customHeight="1">
      <c r="A39" s="269" t="s">
        <v>401</v>
      </c>
      <c r="B39" s="296" t="s">
        <v>263</v>
      </c>
      <c r="C39" s="272">
        <v>3</v>
      </c>
      <c r="D39" s="272">
        <v>1</v>
      </c>
      <c r="E39" s="272">
        <v>6</v>
      </c>
      <c r="F39" s="180">
        <f t="shared" si="2"/>
        <v>297</v>
      </c>
      <c r="G39" s="268">
        <v>50</v>
      </c>
      <c r="H39" s="268">
        <f t="shared" si="0"/>
        <v>900</v>
      </c>
      <c r="I39" s="177">
        <f t="shared" si="1"/>
        <v>297</v>
      </c>
      <c r="J39" s="178"/>
      <c r="K39" s="178"/>
      <c r="L39" s="178"/>
      <c r="M39" s="178"/>
      <c r="N39" s="178"/>
      <c r="O39" s="178"/>
      <c r="P39" s="178"/>
      <c r="Q39" s="179"/>
    </row>
    <row r="40" spans="1:17" s="50" customFormat="1" ht="25" customHeight="1">
      <c r="A40" s="269" t="s">
        <v>402</v>
      </c>
      <c r="B40" s="296" t="s">
        <v>264</v>
      </c>
      <c r="C40" s="272">
        <v>3</v>
      </c>
      <c r="D40" s="272">
        <v>1</v>
      </c>
      <c r="E40" s="272">
        <v>3</v>
      </c>
      <c r="F40" s="180">
        <f t="shared" si="2"/>
        <v>193.05</v>
      </c>
      <c r="G40" s="268">
        <v>70</v>
      </c>
      <c r="H40" s="268">
        <f t="shared" si="0"/>
        <v>630</v>
      </c>
      <c r="I40" s="177">
        <f t="shared" si="1"/>
        <v>193.05</v>
      </c>
      <c r="J40" s="178"/>
      <c r="K40" s="178"/>
      <c r="L40" s="178"/>
      <c r="M40" s="178"/>
      <c r="N40" s="178"/>
      <c r="O40" s="178"/>
      <c r="P40" s="178"/>
      <c r="Q40" s="179"/>
    </row>
    <row r="41" spans="1:17" s="50" customFormat="1" ht="25" customHeight="1">
      <c r="A41" s="269" t="s">
        <v>403</v>
      </c>
      <c r="B41" s="296" t="s">
        <v>265</v>
      </c>
      <c r="C41" s="272">
        <v>2</v>
      </c>
      <c r="D41" s="272">
        <v>1</v>
      </c>
      <c r="E41" s="272">
        <v>1</v>
      </c>
      <c r="F41" s="180">
        <f t="shared" si="2"/>
        <v>33</v>
      </c>
      <c r="G41" s="268">
        <v>50</v>
      </c>
      <c r="H41" s="268">
        <f t="shared" si="0"/>
        <v>100</v>
      </c>
      <c r="I41" s="177">
        <f t="shared" si="1"/>
        <v>33</v>
      </c>
      <c r="J41" s="178"/>
      <c r="K41" s="178"/>
      <c r="L41" s="178"/>
      <c r="M41" s="178"/>
      <c r="N41" s="178"/>
      <c r="O41" s="178"/>
      <c r="P41" s="178"/>
      <c r="Q41" s="179"/>
    </row>
    <row r="42" spans="1:17" s="50" customFormat="1" ht="25" customHeight="1">
      <c r="A42" s="269" t="s">
        <v>404</v>
      </c>
      <c r="B42" s="296" t="s">
        <v>266</v>
      </c>
      <c r="C42" s="272">
        <v>2</v>
      </c>
      <c r="D42" s="272">
        <v>1</v>
      </c>
      <c r="E42" s="272">
        <v>1</v>
      </c>
      <c r="F42" s="180">
        <f t="shared" si="2"/>
        <v>33</v>
      </c>
      <c r="G42" s="268">
        <v>50</v>
      </c>
      <c r="H42" s="268">
        <f t="shared" si="0"/>
        <v>100</v>
      </c>
      <c r="I42" s="177">
        <f t="shared" si="1"/>
        <v>33</v>
      </c>
      <c r="J42" s="178"/>
      <c r="K42" s="178"/>
      <c r="L42" s="178"/>
      <c r="M42" s="178"/>
      <c r="N42" s="178"/>
      <c r="O42" s="178"/>
      <c r="P42" s="178"/>
      <c r="Q42" s="179"/>
    </row>
    <row r="43" spans="1:17" s="50" customFormat="1" ht="25" customHeight="1">
      <c r="A43" s="269" t="s">
        <v>405</v>
      </c>
      <c r="B43" s="300" t="s">
        <v>633</v>
      </c>
      <c r="C43" s="272">
        <v>2</v>
      </c>
      <c r="D43" s="272">
        <v>1</v>
      </c>
      <c r="E43" s="272">
        <v>5</v>
      </c>
      <c r="F43" s="180">
        <f t="shared" si="2"/>
        <v>165</v>
      </c>
      <c r="G43" s="268">
        <v>50</v>
      </c>
      <c r="H43" s="268">
        <f t="shared" si="0"/>
        <v>500</v>
      </c>
      <c r="I43" s="177">
        <f t="shared" si="1"/>
        <v>165</v>
      </c>
      <c r="J43" s="178"/>
      <c r="K43" s="178"/>
      <c r="L43" s="178"/>
      <c r="M43" s="178"/>
      <c r="N43" s="178"/>
      <c r="O43" s="178"/>
      <c r="P43" s="178"/>
      <c r="Q43" s="179"/>
    </row>
    <row r="44" spans="1:17" s="50" customFormat="1" ht="25" customHeight="1">
      <c r="A44" s="269" t="s">
        <v>634</v>
      </c>
      <c r="B44" s="304" t="s">
        <v>635</v>
      </c>
      <c r="C44" s="305">
        <v>3</v>
      </c>
      <c r="D44" s="272">
        <v>1</v>
      </c>
      <c r="E44" s="272">
        <v>4</v>
      </c>
      <c r="F44" s="180">
        <f t="shared" si="2"/>
        <v>198</v>
      </c>
      <c r="G44" s="182">
        <v>40</v>
      </c>
      <c r="H44" s="268">
        <f t="shared" si="0"/>
        <v>480</v>
      </c>
      <c r="I44" s="177">
        <f t="shared" si="1"/>
        <v>198</v>
      </c>
      <c r="J44" s="178"/>
      <c r="K44" s="178"/>
      <c r="L44" s="178"/>
      <c r="M44" s="178"/>
      <c r="N44" s="178"/>
      <c r="O44" s="178"/>
      <c r="P44" s="178"/>
      <c r="Q44" s="179"/>
    </row>
    <row r="45" spans="1:17" s="50" customFormat="1" ht="25" customHeight="1">
      <c r="A45" s="269" t="s">
        <v>636</v>
      </c>
      <c r="B45" s="306" t="s">
        <v>637</v>
      </c>
      <c r="C45" s="272">
        <v>5</v>
      </c>
      <c r="D45" s="272">
        <v>1</v>
      </c>
      <c r="E45" s="272">
        <v>4</v>
      </c>
      <c r="F45" s="180">
        <f t="shared" si="2"/>
        <v>330</v>
      </c>
      <c r="G45" s="268">
        <v>0</v>
      </c>
      <c r="H45" s="268">
        <v>0</v>
      </c>
      <c r="I45" s="177">
        <f t="shared" si="1"/>
        <v>330</v>
      </c>
      <c r="J45" s="178"/>
      <c r="K45" s="178"/>
      <c r="L45" s="178"/>
      <c r="M45" s="178"/>
      <c r="N45" s="178"/>
      <c r="O45" s="178"/>
      <c r="P45" s="178"/>
      <c r="Q45" s="179"/>
    </row>
    <row r="46" spans="1:17" s="50" customFormat="1" ht="25" customHeight="1">
      <c r="A46" s="269" t="s">
        <v>638</v>
      </c>
      <c r="B46" s="306" t="s">
        <v>259</v>
      </c>
      <c r="C46" s="305">
        <v>4</v>
      </c>
      <c r="D46" s="272">
        <v>1</v>
      </c>
      <c r="E46" s="272">
        <v>4</v>
      </c>
      <c r="F46" s="180">
        <f t="shared" si="2"/>
        <v>160</v>
      </c>
      <c r="G46" s="184">
        <v>20</v>
      </c>
      <c r="H46" s="268">
        <f>C46*D46*E46*G46</f>
        <v>320</v>
      </c>
      <c r="I46" s="177">
        <f>E46*G46*2</f>
        <v>160</v>
      </c>
      <c r="J46" s="178"/>
      <c r="K46" s="178"/>
      <c r="L46" s="178"/>
      <c r="M46" s="178"/>
      <c r="N46" s="178"/>
      <c r="O46" s="178"/>
      <c r="P46" s="178"/>
      <c r="Q46" s="179"/>
    </row>
    <row r="47" spans="1:17" s="50" customFormat="1" ht="25" customHeight="1">
      <c r="A47" s="269" t="s">
        <v>639</v>
      </c>
      <c r="B47" s="307" t="s">
        <v>256</v>
      </c>
      <c r="C47" s="305">
        <v>2</v>
      </c>
      <c r="D47" s="272">
        <v>1</v>
      </c>
      <c r="E47" s="272">
        <v>2</v>
      </c>
      <c r="F47" s="268"/>
      <c r="G47" s="268"/>
      <c r="H47" s="268"/>
      <c r="I47" s="178"/>
      <c r="J47" s="178"/>
      <c r="K47" s="178"/>
      <c r="L47" s="178"/>
      <c r="M47" s="178"/>
      <c r="N47" s="178"/>
      <c r="O47" s="178"/>
      <c r="P47" s="178"/>
      <c r="Q47" s="179"/>
    </row>
    <row r="48" spans="1:17" s="50" customFormat="1" ht="25" customHeight="1">
      <c r="A48" s="269" t="s">
        <v>640</v>
      </c>
      <c r="B48" s="307" t="s">
        <v>255</v>
      </c>
      <c r="C48" s="305">
        <v>2</v>
      </c>
      <c r="D48" s="272">
        <v>1</v>
      </c>
      <c r="E48" s="272">
        <v>2</v>
      </c>
      <c r="F48" s="268">
        <f>SUM(F12:F47)</f>
        <v>5781.55</v>
      </c>
      <c r="G48" s="172">
        <f>SUM(G12:G47)</f>
        <v>1761</v>
      </c>
      <c r="H48" s="172">
        <f>SUM(H12:H47)</f>
        <v>16353.8</v>
      </c>
      <c r="I48" s="172">
        <f>SUM(I12:I47)</f>
        <v>5781.55</v>
      </c>
      <c r="J48" s="178">
        <v>0</v>
      </c>
      <c r="K48" s="178">
        <v>0</v>
      </c>
      <c r="L48" s="178"/>
      <c r="M48" s="178"/>
      <c r="N48" s="178"/>
      <c r="O48" s="178"/>
      <c r="P48" s="178"/>
      <c r="Q48" s="179"/>
    </row>
    <row r="49" spans="1:17" s="50" customFormat="1" ht="25" customHeight="1">
      <c r="A49" s="269" t="s">
        <v>641</v>
      </c>
      <c r="B49" s="308" t="s">
        <v>642</v>
      </c>
      <c r="C49" s="305">
        <v>1</v>
      </c>
      <c r="D49" s="272">
        <v>1.4</v>
      </c>
      <c r="E49" s="272">
        <v>14</v>
      </c>
      <c r="F49" s="268"/>
      <c r="G49" s="268"/>
      <c r="H49" s="268"/>
      <c r="I49" s="268"/>
      <c r="J49" s="178"/>
      <c r="K49" s="178"/>
      <c r="L49" s="178"/>
      <c r="M49" s="178"/>
      <c r="N49" s="178"/>
      <c r="O49" s="178"/>
      <c r="P49" s="178"/>
      <c r="Q49" s="179"/>
    </row>
    <row r="50" spans="1:17" s="50" customFormat="1" ht="25" customHeight="1">
      <c r="A50" s="269" t="s">
        <v>643</v>
      </c>
      <c r="B50" s="309" t="s">
        <v>408</v>
      </c>
      <c r="C50" s="310">
        <v>1</v>
      </c>
      <c r="D50" s="310">
        <v>1.4</v>
      </c>
      <c r="E50" s="310">
        <v>2</v>
      </c>
      <c r="F50" s="268"/>
      <c r="G50" s="268"/>
      <c r="H50" s="268"/>
      <c r="I50" s="268"/>
      <c r="J50" s="178">
        <v>10</v>
      </c>
      <c r="K50" s="178"/>
      <c r="L50" s="178"/>
      <c r="M50" s="178"/>
      <c r="N50" s="178"/>
      <c r="O50" s="178"/>
      <c r="P50" s="178"/>
      <c r="Q50" s="1872" t="s">
        <v>520</v>
      </c>
    </row>
    <row r="51" spans="1:17" s="50" customFormat="1" ht="25" customHeight="1">
      <c r="A51" s="311" t="s">
        <v>146</v>
      </c>
      <c r="B51" s="312" t="s">
        <v>149</v>
      </c>
      <c r="C51" s="272">
        <v>0</v>
      </c>
      <c r="D51" s="272">
        <v>0</v>
      </c>
      <c r="E51" s="272">
        <v>0</v>
      </c>
      <c r="F51" s="268"/>
      <c r="G51" s="268"/>
      <c r="H51" s="268"/>
      <c r="I51" s="268"/>
      <c r="J51" s="178">
        <v>15</v>
      </c>
      <c r="K51" s="178"/>
      <c r="L51" s="178"/>
      <c r="M51" s="178"/>
      <c r="N51" s="178"/>
      <c r="O51" s="178"/>
      <c r="P51" s="178"/>
      <c r="Q51" s="1872"/>
    </row>
    <row r="52" spans="1:17" s="50" customFormat="1" ht="25" customHeight="1">
      <c r="A52" s="313" t="s">
        <v>230</v>
      </c>
      <c r="B52" s="269" t="s">
        <v>154</v>
      </c>
      <c r="C52" s="272">
        <v>4</v>
      </c>
      <c r="D52" s="272">
        <v>1.4</v>
      </c>
      <c r="E52" s="272">
        <v>4</v>
      </c>
      <c r="F52" s="268"/>
      <c r="G52" s="268"/>
      <c r="H52" s="268"/>
      <c r="I52" s="268"/>
      <c r="J52" s="178">
        <v>5</v>
      </c>
      <c r="K52" s="178"/>
      <c r="L52" s="178"/>
      <c r="M52" s="178"/>
      <c r="N52" s="178"/>
      <c r="O52" s="178"/>
      <c r="P52" s="178"/>
      <c r="Q52" s="1872"/>
    </row>
    <row r="53" spans="1:17" s="50" customFormat="1" ht="25" customHeight="1">
      <c r="A53" s="313" t="s">
        <v>231</v>
      </c>
      <c r="B53" s="269" t="s">
        <v>155</v>
      </c>
      <c r="C53" s="272"/>
      <c r="D53" s="272"/>
      <c r="E53" s="272"/>
      <c r="F53" s="268"/>
      <c r="G53" s="268"/>
      <c r="H53" s="268"/>
      <c r="I53" s="178"/>
      <c r="J53" s="178"/>
      <c r="K53" s="178"/>
      <c r="L53" s="178"/>
      <c r="M53" s="178"/>
      <c r="N53" s="178"/>
      <c r="O53" s="178"/>
      <c r="P53" s="178"/>
      <c r="Q53" s="179"/>
    </row>
    <row r="54" spans="1:17" s="50" customFormat="1" ht="25" customHeight="1">
      <c r="A54" s="313"/>
      <c r="B54" s="314" t="s">
        <v>350</v>
      </c>
      <c r="C54" s="315">
        <f>SUM(C12:C53)</f>
        <v>107</v>
      </c>
      <c r="D54" s="315">
        <f>SUM(D12:D53)</f>
        <v>43.659999999999989</v>
      </c>
      <c r="E54" s="315">
        <f>SUM(E12:E53)</f>
        <v>146</v>
      </c>
      <c r="F54" s="268"/>
      <c r="G54" s="268"/>
      <c r="H54" s="268"/>
      <c r="I54" s="178"/>
      <c r="J54" s="178"/>
      <c r="K54" s="178"/>
      <c r="L54" s="178"/>
      <c r="M54" s="178"/>
      <c r="N54" s="178"/>
      <c r="O54" s="178"/>
      <c r="P54" s="178"/>
      <c r="Q54" s="179"/>
    </row>
    <row r="55" spans="1:17" s="50" customFormat="1" ht="25" customHeight="1">
      <c r="A55" s="311"/>
      <c r="B55" s="314" t="s">
        <v>516</v>
      </c>
      <c r="C55" s="272"/>
      <c r="D55" s="272"/>
      <c r="E55" s="272"/>
      <c r="F55" s="180">
        <f t="shared" ref="F55:F62" si="3">I55+J55+K55</f>
        <v>0</v>
      </c>
      <c r="G55" s="268">
        <v>10</v>
      </c>
      <c r="H55" s="268">
        <f t="shared" ref="H55:H60" si="4">C55*D55*E55*G55</f>
        <v>0</v>
      </c>
      <c r="I55" s="177">
        <f t="shared" ref="I55:I60" si="5">IF(G55&lt;70, C55*E55*16.5*1.5, C55*E55*16.5*1.5)</f>
        <v>0</v>
      </c>
      <c r="J55" s="178"/>
      <c r="K55" s="178"/>
      <c r="L55" s="178"/>
      <c r="M55" s="178"/>
      <c r="N55" s="178"/>
      <c r="O55" s="178"/>
      <c r="P55" s="178"/>
      <c r="Q55" s="179"/>
    </row>
    <row r="56" spans="1:17" s="50" customFormat="1" ht="25" customHeight="1">
      <c r="A56" s="313" t="s">
        <v>523</v>
      </c>
      <c r="B56" s="269" t="s">
        <v>517</v>
      </c>
      <c r="C56" s="272">
        <v>5</v>
      </c>
      <c r="D56" s="272"/>
      <c r="E56" s="272">
        <v>2</v>
      </c>
      <c r="F56" s="180">
        <f t="shared" si="3"/>
        <v>247.5</v>
      </c>
      <c r="G56" s="268">
        <v>10</v>
      </c>
      <c r="H56" s="268">
        <f t="shared" si="4"/>
        <v>0</v>
      </c>
      <c r="I56" s="177">
        <f t="shared" si="5"/>
        <v>247.5</v>
      </c>
      <c r="J56" s="178"/>
      <c r="K56" s="178"/>
      <c r="L56" s="178"/>
      <c r="M56" s="178"/>
      <c r="N56" s="178"/>
      <c r="O56" s="178"/>
      <c r="P56" s="178"/>
      <c r="Q56" s="179"/>
    </row>
    <row r="57" spans="1:17" s="50" customFormat="1" ht="25" customHeight="1">
      <c r="A57" s="313" t="s">
        <v>524</v>
      </c>
      <c r="B57" s="269" t="s">
        <v>518</v>
      </c>
      <c r="C57" s="272">
        <v>5</v>
      </c>
      <c r="D57" s="272"/>
      <c r="E57" s="272">
        <v>3</v>
      </c>
      <c r="F57" s="180">
        <f t="shared" si="3"/>
        <v>371.25</v>
      </c>
      <c r="G57" s="268">
        <v>10</v>
      </c>
      <c r="H57" s="268">
        <f t="shared" si="4"/>
        <v>0</v>
      </c>
      <c r="I57" s="177">
        <f t="shared" si="5"/>
        <v>371.25</v>
      </c>
      <c r="J57" s="178"/>
      <c r="K57" s="178"/>
      <c r="L57" s="178"/>
      <c r="M57" s="178"/>
      <c r="N57" s="178"/>
      <c r="O57" s="178"/>
      <c r="P57" s="178"/>
      <c r="Q57" s="179"/>
    </row>
    <row r="58" spans="1:17" s="50" customFormat="1" ht="25" customHeight="1">
      <c r="A58" s="313" t="s">
        <v>525</v>
      </c>
      <c r="B58" s="296" t="s">
        <v>519</v>
      </c>
      <c r="C58" s="272">
        <v>4</v>
      </c>
      <c r="D58" s="272"/>
      <c r="E58" s="272">
        <v>1</v>
      </c>
      <c r="F58" s="180">
        <f t="shared" si="3"/>
        <v>99</v>
      </c>
      <c r="G58" s="268">
        <v>10</v>
      </c>
      <c r="H58" s="268">
        <f t="shared" si="4"/>
        <v>0</v>
      </c>
      <c r="I58" s="177">
        <f t="shared" si="5"/>
        <v>99</v>
      </c>
      <c r="J58" s="178"/>
      <c r="K58" s="178"/>
      <c r="L58" s="178"/>
      <c r="M58" s="178"/>
      <c r="N58" s="178"/>
      <c r="O58" s="178"/>
      <c r="P58" s="178"/>
      <c r="Q58" s="179"/>
    </row>
    <row r="59" spans="1:17" s="50" customFormat="1" ht="25" customHeight="1">
      <c r="A59" s="316">
        <v>2</v>
      </c>
      <c r="B59" s="316" t="s">
        <v>162</v>
      </c>
      <c r="C59" s="272"/>
      <c r="D59" s="272"/>
      <c r="E59" s="272"/>
      <c r="F59" s="180">
        <f t="shared" si="3"/>
        <v>0</v>
      </c>
      <c r="G59" s="268">
        <v>10</v>
      </c>
      <c r="H59" s="268">
        <f t="shared" si="4"/>
        <v>0</v>
      </c>
      <c r="I59" s="177">
        <f t="shared" si="5"/>
        <v>0</v>
      </c>
      <c r="J59" s="178"/>
      <c r="K59" s="178"/>
      <c r="L59" s="178"/>
      <c r="M59" s="178"/>
      <c r="N59" s="178"/>
      <c r="O59" s="178"/>
      <c r="P59" s="178"/>
      <c r="Q59" s="179"/>
    </row>
    <row r="60" spans="1:17" s="50" customFormat="1" ht="25" customHeight="1">
      <c r="A60" s="317" t="s">
        <v>145</v>
      </c>
      <c r="B60" s="318" t="s">
        <v>163</v>
      </c>
      <c r="C60" s="272"/>
      <c r="D60" s="272"/>
      <c r="E60" s="272"/>
      <c r="F60" s="180">
        <f t="shared" si="3"/>
        <v>0</v>
      </c>
      <c r="G60" s="268">
        <v>15</v>
      </c>
      <c r="H60" s="268">
        <f t="shared" si="4"/>
        <v>0</v>
      </c>
      <c r="I60" s="177">
        <f t="shared" si="5"/>
        <v>0</v>
      </c>
      <c r="J60" s="178"/>
      <c r="K60" s="178"/>
      <c r="L60" s="178"/>
      <c r="M60" s="178"/>
      <c r="N60" s="178"/>
      <c r="O60" s="178"/>
      <c r="P60" s="178"/>
      <c r="Q60" s="179"/>
    </row>
    <row r="61" spans="1:17" s="50" customFormat="1" ht="25" customHeight="1">
      <c r="A61" s="269" t="s">
        <v>224</v>
      </c>
      <c r="B61" s="270" t="s">
        <v>267</v>
      </c>
      <c r="C61" s="272">
        <v>3</v>
      </c>
      <c r="D61" s="272">
        <v>1</v>
      </c>
      <c r="E61" s="272">
        <v>1</v>
      </c>
      <c r="F61" s="180">
        <f t="shared" si="3"/>
        <v>49.5</v>
      </c>
      <c r="G61" s="186"/>
      <c r="H61" s="186"/>
      <c r="I61" s="177">
        <f>IF(G61&lt;70, C61*E61*16.5*1, C61*E61*16.5*1.3)</f>
        <v>49.5</v>
      </c>
      <c r="J61" s="178"/>
      <c r="K61" s="178"/>
      <c r="L61" s="178"/>
      <c r="M61" s="178"/>
      <c r="N61" s="178"/>
      <c r="O61" s="178"/>
      <c r="P61" s="178"/>
      <c r="Q61" s="179"/>
    </row>
    <row r="62" spans="1:17" s="50" customFormat="1" ht="25" customHeight="1">
      <c r="A62" s="269" t="s">
        <v>225</v>
      </c>
      <c r="B62" s="270" t="s">
        <v>268</v>
      </c>
      <c r="C62" s="272">
        <v>3</v>
      </c>
      <c r="D62" s="272">
        <v>1</v>
      </c>
      <c r="E62" s="272">
        <v>1</v>
      </c>
      <c r="F62" s="180">
        <f t="shared" si="3"/>
        <v>385</v>
      </c>
      <c r="G62" s="186">
        <v>11</v>
      </c>
      <c r="H62" s="268">
        <f>C62*G62*D62</f>
        <v>33</v>
      </c>
      <c r="I62" s="177">
        <f>11*35</f>
        <v>385</v>
      </c>
      <c r="J62" s="178"/>
      <c r="K62" s="178"/>
      <c r="L62" s="178"/>
      <c r="M62" s="178"/>
      <c r="N62" s="178"/>
      <c r="O62" s="178"/>
      <c r="P62" s="178"/>
      <c r="Q62" s="179"/>
    </row>
    <row r="63" spans="1:17" s="50" customFormat="1" ht="25" customHeight="1">
      <c r="A63" s="269" t="s">
        <v>226</v>
      </c>
      <c r="B63" s="270" t="s">
        <v>269</v>
      </c>
      <c r="C63" s="272">
        <v>3</v>
      </c>
      <c r="D63" s="272">
        <v>1</v>
      </c>
      <c r="E63" s="272">
        <v>1</v>
      </c>
      <c r="F63" s="268">
        <f>SUM(F55:F62)</f>
        <v>1152.25</v>
      </c>
      <c r="G63" s="172">
        <f>SUM(G55:G62)</f>
        <v>76</v>
      </c>
      <c r="H63" s="172">
        <f>SUM(H55:H62)</f>
        <v>33</v>
      </c>
      <c r="I63" s="172">
        <f>SUM(I55:I62)</f>
        <v>1152.25</v>
      </c>
      <c r="J63" s="178"/>
      <c r="K63" s="178"/>
      <c r="L63" s="178"/>
      <c r="M63" s="178"/>
      <c r="N63" s="178"/>
      <c r="O63" s="178"/>
      <c r="P63" s="178"/>
      <c r="Q63" s="179"/>
    </row>
    <row r="64" spans="1:17" s="50" customFormat="1" ht="25" customHeight="1">
      <c r="A64" s="269" t="s">
        <v>227</v>
      </c>
      <c r="B64" s="270" t="s">
        <v>270</v>
      </c>
      <c r="C64" s="272">
        <v>3</v>
      </c>
      <c r="D64" s="272">
        <v>1</v>
      </c>
      <c r="E64" s="272">
        <v>1</v>
      </c>
      <c r="F64" s="268">
        <v>0</v>
      </c>
      <c r="G64" s="268">
        <v>0</v>
      </c>
      <c r="H64" s="268">
        <v>0</v>
      </c>
      <c r="I64" s="268">
        <v>0</v>
      </c>
      <c r="J64" s="178"/>
      <c r="K64" s="178"/>
      <c r="L64" s="178"/>
      <c r="M64" s="178"/>
      <c r="N64" s="178"/>
      <c r="O64" s="178"/>
      <c r="P64" s="178"/>
      <c r="Q64" s="179"/>
    </row>
    <row r="65" spans="1:17" s="50" customFormat="1" ht="25" customHeight="1">
      <c r="A65" s="269" t="s">
        <v>228</v>
      </c>
      <c r="B65" s="273" t="s">
        <v>271</v>
      </c>
      <c r="C65" s="272">
        <v>3</v>
      </c>
      <c r="D65" s="272">
        <v>1</v>
      </c>
      <c r="E65" s="272">
        <v>1</v>
      </c>
      <c r="F65" s="268"/>
      <c r="G65" s="268"/>
      <c r="H65" s="268"/>
      <c r="I65" s="178"/>
      <c r="J65" s="178"/>
      <c r="K65" s="178"/>
      <c r="L65" s="178"/>
      <c r="M65" s="178"/>
      <c r="N65" s="178"/>
      <c r="O65" s="178"/>
      <c r="P65" s="178"/>
      <c r="Q65" s="179"/>
    </row>
    <row r="66" spans="1:17" s="50" customFormat="1" ht="25" customHeight="1">
      <c r="A66" s="269" t="s">
        <v>229</v>
      </c>
      <c r="B66" s="270" t="s">
        <v>522</v>
      </c>
      <c r="C66" s="272">
        <v>3</v>
      </c>
      <c r="D66" s="272">
        <v>1</v>
      </c>
      <c r="E66" s="272">
        <v>1</v>
      </c>
      <c r="F66" s="268"/>
      <c r="G66" s="268"/>
      <c r="H66" s="268"/>
      <c r="I66" s="178"/>
      <c r="J66" s="178"/>
      <c r="K66" s="178"/>
      <c r="L66" s="178"/>
      <c r="M66" s="178"/>
      <c r="N66" s="178"/>
      <c r="O66" s="178"/>
      <c r="P66" s="178"/>
      <c r="Q66" s="179"/>
    </row>
    <row r="67" spans="1:17" s="50" customFormat="1" ht="25" customHeight="1">
      <c r="A67" s="282" t="s">
        <v>146</v>
      </c>
      <c r="B67" s="283" t="s">
        <v>465</v>
      </c>
      <c r="C67" s="276"/>
      <c r="D67" s="276"/>
      <c r="E67" s="276"/>
      <c r="F67" s="268"/>
      <c r="G67" s="268"/>
      <c r="H67" s="268"/>
      <c r="I67" s="178"/>
      <c r="J67" s="178"/>
      <c r="K67" s="178"/>
      <c r="L67" s="178"/>
      <c r="M67" s="178"/>
      <c r="N67" s="178"/>
      <c r="O67" s="178"/>
      <c r="P67" s="178"/>
      <c r="Q67" s="179"/>
    </row>
    <row r="68" spans="1:17" s="50" customFormat="1" ht="25" customHeight="1">
      <c r="A68" s="282"/>
      <c r="B68" s="275" t="s">
        <v>644</v>
      </c>
      <c r="C68" s="276">
        <v>15</v>
      </c>
      <c r="D68" s="276">
        <v>1</v>
      </c>
      <c r="E68" s="276">
        <v>1</v>
      </c>
      <c r="F68" s="180">
        <f t="shared" ref="F68:F82" si="6">I68+J68+K68</f>
        <v>247.5</v>
      </c>
      <c r="G68" s="268">
        <v>40</v>
      </c>
      <c r="H68" s="268">
        <f t="shared" ref="H68:H82" si="7">C68*D68*E68*G68</f>
        <v>600</v>
      </c>
      <c r="I68" s="177">
        <f t="shared" ref="I68:I82" si="8">IF(G68&lt;70, C68*E68*16.5*1, C68*E68*16.5*1.3)</f>
        <v>247.5</v>
      </c>
      <c r="J68" s="178"/>
      <c r="K68" s="178"/>
      <c r="L68" s="178"/>
      <c r="M68" s="178"/>
      <c r="N68" s="178"/>
      <c r="O68" s="178"/>
      <c r="P68" s="178"/>
      <c r="Q68" s="179"/>
    </row>
    <row r="69" spans="1:17" s="50" customFormat="1" ht="25" customHeight="1">
      <c r="A69" s="269"/>
      <c r="B69" s="314" t="s">
        <v>350</v>
      </c>
      <c r="C69" s="315">
        <f>SUM(C61:C68)</f>
        <v>33</v>
      </c>
      <c r="D69" s="315">
        <f>SUM(D61:D68)</f>
        <v>7</v>
      </c>
      <c r="E69" s="315">
        <f>SUM(E61:E68)</f>
        <v>7</v>
      </c>
      <c r="F69" s="180">
        <f t="shared" si="6"/>
        <v>3811.5</v>
      </c>
      <c r="G69" s="268">
        <v>40</v>
      </c>
      <c r="H69" s="268">
        <f t="shared" si="7"/>
        <v>64680</v>
      </c>
      <c r="I69" s="177">
        <f t="shared" si="8"/>
        <v>3811.5</v>
      </c>
      <c r="J69" s="178"/>
      <c r="K69" s="178"/>
      <c r="L69" s="178"/>
      <c r="M69" s="178"/>
      <c r="N69" s="178"/>
      <c r="O69" s="178"/>
      <c r="P69" s="178"/>
      <c r="Q69" s="179"/>
    </row>
    <row r="70" spans="1:17" s="50" customFormat="1" ht="25" customHeight="1">
      <c r="A70" s="316">
        <v>3</v>
      </c>
      <c r="B70" s="316" t="s">
        <v>164</v>
      </c>
      <c r="C70" s="272">
        <v>0</v>
      </c>
      <c r="D70" s="272">
        <v>0</v>
      </c>
      <c r="E70" s="272">
        <v>0</v>
      </c>
      <c r="F70" s="180">
        <f t="shared" si="6"/>
        <v>0</v>
      </c>
      <c r="G70" s="268">
        <v>40</v>
      </c>
      <c r="H70" s="268">
        <f t="shared" si="7"/>
        <v>0</v>
      </c>
      <c r="I70" s="177">
        <f t="shared" si="8"/>
        <v>0</v>
      </c>
      <c r="J70" s="178"/>
      <c r="K70" s="178"/>
      <c r="L70" s="178"/>
      <c r="M70" s="178"/>
      <c r="N70" s="178"/>
      <c r="O70" s="178"/>
      <c r="P70" s="178"/>
      <c r="Q70" s="179"/>
    </row>
    <row r="71" spans="1:17" s="50" customFormat="1" ht="25" customHeight="1">
      <c r="A71" s="316" t="s">
        <v>7</v>
      </c>
      <c r="B71" s="316" t="s">
        <v>222</v>
      </c>
      <c r="C71" s="272"/>
      <c r="D71" s="272"/>
      <c r="E71" s="272"/>
      <c r="F71" s="180">
        <f t="shared" si="6"/>
        <v>0</v>
      </c>
      <c r="G71" s="268">
        <v>40</v>
      </c>
      <c r="H71" s="268">
        <f t="shared" si="7"/>
        <v>0</v>
      </c>
      <c r="I71" s="177">
        <f t="shared" si="8"/>
        <v>0</v>
      </c>
      <c r="J71" s="178"/>
      <c r="K71" s="178"/>
      <c r="L71" s="178"/>
      <c r="M71" s="178"/>
      <c r="N71" s="178"/>
      <c r="O71" s="178"/>
      <c r="P71" s="178"/>
      <c r="Q71" s="179"/>
    </row>
    <row r="72" spans="1:17" s="50" customFormat="1" ht="25" customHeight="1">
      <c r="A72" s="316">
        <v>1</v>
      </c>
      <c r="B72" s="318" t="s">
        <v>223</v>
      </c>
      <c r="C72" s="272"/>
      <c r="D72" s="272"/>
      <c r="E72" s="272"/>
      <c r="F72" s="180">
        <f t="shared" si="6"/>
        <v>0</v>
      </c>
      <c r="G72" s="268">
        <v>40</v>
      </c>
      <c r="H72" s="268">
        <f t="shared" si="7"/>
        <v>0</v>
      </c>
      <c r="I72" s="177">
        <f t="shared" si="8"/>
        <v>0</v>
      </c>
      <c r="J72" s="178"/>
      <c r="K72" s="178"/>
      <c r="L72" s="178"/>
      <c r="M72" s="178"/>
      <c r="N72" s="178"/>
      <c r="O72" s="178"/>
      <c r="P72" s="178"/>
      <c r="Q72" s="179"/>
    </row>
    <row r="73" spans="1:17" s="50" customFormat="1" ht="25" customHeight="1">
      <c r="A73" s="316" t="s">
        <v>145</v>
      </c>
      <c r="B73" s="318" t="s">
        <v>161</v>
      </c>
      <c r="C73" s="272"/>
      <c r="D73" s="272"/>
      <c r="E73" s="272"/>
      <c r="F73" s="180">
        <f t="shared" si="6"/>
        <v>0</v>
      </c>
      <c r="G73" s="268">
        <v>40</v>
      </c>
      <c r="H73" s="268">
        <f t="shared" si="7"/>
        <v>0</v>
      </c>
      <c r="I73" s="177">
        <f t="shared" si="8"/>
        <v>0</v>
      </c>
      <c r="J73" s="178"/>
      <c r="K73" s="178"/>
      <c r="L73" s="178"/>
      <c r="M73" s="178"/>
      <c r="N73" s="178"/>
      <c r="O73" s="178"/>
      <c r="P73" s="178"/>
      <c r="Q73" s="179"/>
    </row>
    <row r="74" spans="1:17" s="50" customFormat="1" ht="25" customHeight="1">
      <c r="A74" s="313" t="s">
        <v>224</v>
      </c>
      <c r="B74" s="273" t="s">
        <v>264</v>
      </c>
      <c r="C74" s="272">
        <v>3</v>
      </c>
      <c r="D74" s="272">
        <v>1</v>
      </c>
      <c r="E74" s="272">
        <v>3</v>
      </c>
      <c r="F74" s="180">
        <f t="shared" si="6"/>
        <v>148.5</v>
      </c>
      <c r="G74" s="268">
        <v>40</v>
      </c>
      <c r="H74" s="268">
        <f t="shared" si="7"/>
        <v>360</v>
      </c>
      <c r="I74" s="177">
        <f t="shared" si="8"/>
        <v>148.5</v>
      </c>
      <c r="J74" s="178"/>
      <c r="K74" s="178"/>
      <c r="L74" s="178"/>
      <c r="M74" s="178"/>
      <c r="N74" s="178"/>
      <c r="O74" s="178"/>
      <c r="P74" s="178"/>
      <c r="Q74" s="179"/>
    </row>
    <row r="75" spans="1:17" s="50" customFormat="1" ht="25" customHeight="1">
      <c r="A75" s="313" t="s">
        <v>225</v>
      </c>
      <c r="B75" s="273" t="s">
        <v>272</v>
      </c>
      <c r="C75" s="272">
        <v>5</v>
      </c>
      <c r="D75" s="272">
        <v>1</v>
      </c>
      <c r="E75" s="272">
        <v>3</v>
      </c>
      <c r="F75" s="180">
        <f t="shared" si="6"/>
        <v>247.5</v>
      </c>
      <c r="G75" s="268">
        <v>40</v>
      </c>
      <c r="H75" s="268">
        <f t="shared" si="7"/>
        <v>600</v>
      </c>
      <c r="I75" s="177">
        <f t="shared" si="8"/>
        <v>247.5</v>
      </c>
      <c r="J75" s="178"/>
      <c r="K75" s="178"/>
      <c r="L75" s="178"/>
      <c r="M75" s="178"/>
      <c r="N75" s="178"/>
      <c r="O75" s="178"/>
      <c r="P75" s="178"/>
      <c r="Q75" s="179"/>
    </row>
    <row r="76" spans="1:17" s="50" customFormat="1" ht="25" customHeight="1">
      <c r="A76" s="313" t="s">
        <v>226</v>
      </c>
      <c r="B76" s="273" t="s">
        <v>273</v>
      </c>
      <c r="C76" s="272">
        <v>3</v>
      </c>
      <c r="D76" s="272">
        <v>1</v>
      </c>
      <c r="E76" s="272">
        <v>3</v>
      </c>
      <c r="F76" s="180">
        <f t="shared" si="6"/>
        <v>148.5</v>
      </c>
      <c r="G76" s="268">
        <v>40</v>
      </c>
      <c r="H76" s="268">
        <f t="shared" si="7"/>
        <v>360</v>
      </c>
      <c r="I76" s="177">
        <f t="shared" si="8"/>
        <v>148.5</v>
      </c>
      <c r="J76" s="178"/>
      <c r="K76" s="178"/>
      <c r="L76" s="178"/>
      <c r="M76" s="178"/>
      <c r="N76" s="178"/>
      <c r="O76" s="178"/>
      <c r="P76" s="178"/>
      <c r="Q76" s="179"/>
    </row>
    <row r="77" spans="1:17" s="50" customFormat="1" ht="25" customHeight="1">
      <c r="A77" s="313" t="s">
        <v>227</v>
      </c>
      <c r="B77" s="273" t="s">
        <v>274</v>
      </c>
      <c r="C77" s="272">
        <v>2</v>
      </c>
      <c r="D77" s="272">
        <v>1</v>
      </c>
      <c r="E77" s="272">
        <v>3</v>
      </c>
      <c r="F77" s="180">
        <f t="shared" si="6"/>
        <v>99</v>
      </c>
      <c r="G77" s="268">
        <v>40</v>
      </c>
      <c r="H77" s="268">
        <f t="shared" si="7"/>
        <v>240</v>
      </c>
      <c r="I77" s="177">
        <f t="shared" si="8"/>
        <v>99</v>
      </c>
      <c r="J77" s="178"/>
      <c r="K77" s="178"/>
      <c r="L77" s="178"/>
      <c r="M77" s="178"/>
      <c r="N77" s="178"/>
      <c r="O77" s="178"/>
      <c r="P77" s="178"/>
      <c r="Q77" s="179"/>
    </row>
    <row r="78" spans="1:17" s="50" customFormat="1" ht="25" customHeight="1">
      <c r="A78" s="313" t="s">
        <v>228</v>
      </c>
      <c r="B78" s="273" t="s">
        <v>275</v>
      </c>
      <c r="C78" s="272">
        <v>2</v>
      </c>
      <c r="D78" s="272">
        <v>1</v>
      </c>
      <c r="E78" s="272">
        <v>3</v>
      </c>
      <c r="F78" s="180">
        <f t="shared" si="6"/>
        <v>99</v>
      </c>
      <c r="G78" s="268">
        <v>40</v>
      </c>
      <c r="H78" s="268">
        <f t="shared" si="7"/>
        <v>240</v>
      </c>
      <c r="I78" s="177">
        <f t="shared" si="8"/>
        <v>99</v>
      </c>
      <c r="J78" s="178"/>
      <c r="K78" s="178"/>
      <c r="L78" s="178"/>
      <c r="M78" s="178"/>
      <c r="N78" s="178"/>
      <c r="O78" s="178"/>
      <c r="P78" s="178"/>
      <c r="Q78" s="179"/>
    </row>
    <row r="79" spans="1:17" s="50" customFormat="1" ht="25" customHeight="1">
      <c r="A79" s="313" t="s">
        <v>229</v>
      </c>
      <c r="B79" s="273" t="s">
        <v>276</v>
      </c>
      <c r="C79" s="272">
        <v>5</v>
      </c>
      <c r="D79" s="272">
        <v>1</v>
      </c>
      <c r="E79" s="272">
        <v>3</v>
      </c>
      <c r="F79" s="180">
        <f t="shared" si="6"/>
        <v>247.5</v>
      </c>
      <c r="G79" s="268">
        <v>40</v>
      </c>
      <c r="H79" s="268">
        <f t="shared" si="7"/>
        <v>600</v>
      </c>
      <c r="I79" s="177">
        <f t="shared" si="8"/>
        <v>247.5</v>
      </c>
      <c r="J79" s="178"/>
      <c r="K79" s="178"/>
      <c r="L79" s="178"/>
      <c r="M79" s="178"/>
      <c r="N79" s="178"/>
      <c r="O79" s="178"/>
      <c r="P79" s="178"/>
      <c r="Q79" s="179"/>
    </row>
    <row r="80" spans="1:17" s="50" customFormat="1" ht="25" customHeight="1">
      <c r="A80" s="313" t="s">
        <v>280</v>
      </c>
      <c r="B80" s="273" t="s">
        <v>277</v>
      </c>
      <c r="C80" s="272">
        <v>2</v>
      </c>
      <c r="D80" s="272">
        <v>1</v>
      </c>
      <c r="E80" s="272">
        <v>3</v>
      </c>
      <c r="F80" s="180">
        <f t="shared" si="6"/>
        <v>99</v>
      </c>
      <c r="G80" s="268">
        <v>40</v>
      </c>
      <c r="H80" s="268">
        <f t="shared" si="7"/>
        <v>240</v>
      </c>
      <c r="I80" s="177">
        <f t="shared" si="8"/>
        <v>99</v>
      </c>
      <c r="J80" s="178"/>
      <c r="K80" s="178"/>
      <c r="L80" s="178"/>
      <c r="M80" s="178"/>
      <c r="N80" s="178"/>
      <c r="O80" s="178"/>
      <c r="P80" s="178"/>
      <c r="Q80" s="179"/>
    </row>
    <row r="81" spans="1:17" s="50" customFormat="1" ht="25" customHeight="1">
      <c r="A81" s="313" t="s">
        <v>281</v>
      </c>
      <c r="B81" s="285" t="s">
        <v>254</v>
      </c>
      <c r="C81" s="272">
        <v>3</v>
      </c>
      <c r="D81" s="272">
        <v>1</v>
      </c>
      <c r="E81" s="272">
        <v>5</v>
      </c>
      <c r="F81" s="180">
        <f t="shared" si="6"/>
        <v>247.5</v>
      </c>
      <c r="G81" s="268">
        <v>40</v>
      </c>
      <c r="H81" s="268">
        <f t="shared" si="7"/>
        <v>600</v>
      </c>
      <c r="I81" s="177">
        <f t="shared" si="8"/>
        <v>247.5</v>
      </c>
      <c r="J81" s="178"/>
      <c r="K81" s="178"/>
      <c r="L81" s="178"/>
      <c r="M81" s="178"/>
      <c r="N81" s="178"/>
      <c r="O81" s="178"/>
      <c r="P81" s="178"/>
      <c r="Q81" s="179"/>
    </row>
    <row r="82" spans="1:17" s="50" customFormat="1" ht="25" customHeight="1">
      <c r="A82" s="313" t="s">
        <v>282</v>
      </c>
      <c r="B82" s="285" t="s">
        <v>260</v>
      </c>
      <c r="C82" s="272">
        <v>5</v>
      </c>
      <c r="D82" s="272">
        <v>1</v>
      </c>
      <c r="E82" s="272">
        <v>5</v>
      </c>
      <c r="F82" s="180">
        <f t="shared" si="6"/>
        <v>412.5</v>
      </c>
      <c r="G82" s="268">
        <v>40</v>
      </c>
      <c r="H82" s="268">
        <f t="shared" si="7"/>
        <v>1000</v>
      </c>
      <c r="I82" s="177">
        <f t="shared" si="8"/>
        <v>412.5</v>
      </c>
      <c r="J82" s="178"/>
      <c r="K82" s="178"/>
      <c r="L82" s="178"/>
      <c r="M82" s="178"/>
      <c r="N82" s="178"/>
      <c r="O82" s="178"/>
      <c r="P82" s="178"/>
      <c r="Q82" s="179"/>
    </row>
    <row r="83" spans="1:17" s="50" customFormat="1" ht="25" customHeight="1">
      <c r="A83" s="313" t="s">
        <v>283</v>
      </c>
      <c r="B83" s="285" t="s">
        <v>278</v>
      </c>
      <c r="C83" s="272">
        <v>2</v>
      </c>
      <c r="D83" s="272">
        <v>1</v>
      </c>
      <c r="E83" s="272">
        <v>5</v>
      </c>
      <c r="F83" s="268">
        <f>SUM(F68:F82)</f>
        <v>5808</v>
      </c>
      <c r="G83" s="172">
        <f>SUM(G68:G82)</f>
        <v>600</v>
      </c>
      <c r="H83" s="172">
        <f>SUM(H68:H82)</f>
        <v>69520</v>
      </c>
      <c r="I83" s="172">
        <f>SUM(I68:I82)</f>
        <v>5808</v>
      </c>
      <c r="J83" s="178"/>
      <c r="K83" s="178"/>
      <c r="L83" s="178"/>
      <c r="M83" s="178"/>
      <c r="N83" s="178"/>
      <c r="O83" s="178"/>
      <c r="P83" s="178"/>
      <c r="Q83" s="179"/>
    </row>
    <row r="84" spans="1:17" s="50" customFormat="1" ht="25" customHeight="1">
      <c r="A84" s="313" t="s">
        <v>284</v>
      </c>
      <c r="B84" s="273" t="s">
        <v>279</v>
      </c>
      <c r="C84" s="272">
        <v>5</v>
      </c>
      <c r="D84" s="272">
        <v>1</v>
      </c>
      <c r="E84" s="272">
        <v>5</v>
      </c>
      <c r="F84" s="268">
        <v>0</v>
      </c>
      <c r="G84" s="268">
        <v>0</v>
      </c>
      <c r="H84" s="268">
        <v>0</v>
      </c>
      <c r="I84" s="268">
        <v>0</v>
      </c>
      <c r="J84" s="178"/>
      <c r="K84" s="178"/>
      <c r="L84" s="178"/>
      <c r="M84" s="178"/>
      <c r="N84" s="178"/>
      <c r="O84" s="178"/>
      <c r="P84" s="178"/>
      <c r="Q84" s="179"/>
    </row>
    <row r="85" spans="1:17" s="50" customFormat="1" ht="25" customHeight="1">
      <c r="A85" s="313" t="s">
        <v>287</v>
      </c>
      <c r="B85" s="270" t="s">
        <v>285</v>
      </c>
      <c r="C85" s="272">
        <v>3</v>
      </c>
      <c r="D85" s="272">
        <v>1</v>
      </c>
      <c r="E85" s="272">
        <v>3</v>
      </c>
      <c r="F85" s="245">
        <f>F48+F63+F83</f>
        <v>12741.8</v>
      </c>
      <c r="G85" s="187">
        <f>G48+G63+G83</f>
        <v>2437</v>
      </c>
      <c r="H85" s="187">
        <f>H48+H63+H83</f>
        <v>85906.8</v>
      </c>
      <c r="I85" s="187">
        <f>I48+I63+I83</f>
        <v>12741.8</v>
      </c>
      <c r="J85" s="188">
        <v>0</v>
      </c>
      <c r="K85" s="188">
        <v>0</v>
      </c>
      <c r="L85" s="189">
        <f>'Bieu3 GDTH'!F24</f>
        <v>2632</v>
      </c>
      <c r="M85" s="190">
        <f>'Bieu3 GDTH'!N24</f>
        <v>2402.5</v>
      </c>
      <c r="N85" s="190">
        <f>I85-M85</f>
        <v>10339.299999999999</v>
      </c>
      <c r="O85" s="191">
        <f>'Bieu3 GDTH'!O24</f>
        <v>1422.25</v>
      </c>
      <c r="P85" s="191">
        <f>'Bieu3 GDTH'!P24</f>
        <v>780</v>
      </c>
      <c r="Q85" s="192"/>
    </row>
    <row r="86" spans="1:17" s="50" customFormat="1" ht="25" customHeight="1">
      <c r="A86" s="313" t="s">
        <v>288</v>
      </c>
      <c r="B86" s="270" t="s">
        <v>263</v>
      </c>
      <c r="C86" s="272">
        <v>3</v>
      </c>
      <c r="D86" s="272">
        <v>1</v>
      </c>
      <c r="E86" s="272">
        <v>3</v>
      </c>
      <c r="F86" s="290"/>
      <c r="G86" s="289"/>
      <c r="H86" s="289"/>
      <c r="I86" s="289"/>
      <c r="J86" s="291"/>
      <c r="K86" s="291"/>
      <c r="L86" s="292"/>
      <c r="M86" s="293"/>
      <c r="N86" s="293"/>
      <c r="O86" s="294"/>
      <c r="P86" s="294"/>
      <c r="Q86" s="295"/>
    </row>
    <row r="87" spans="1:17" s="50" customFormat="1" ht="25" customHeight="1">
      <c r="A87" s="313" t="s">
        <v>289</v>
      </c>
      <c r="B87" s="270" t="s">
        <v>286</v>
      </c>
      <c r="C87" s="272">
        <v>5</v>
      </c>
      <c r="D87" s="272">
        <v>1</v>
      </c>
      <c r="E87" s="272">
        <v>3</v>
      </c>
      <c r="F87" s="290"/>
      <c r="G87" s="289"/>
      <c r="H87" s="289"/>
      <c r="I87" s="289"/>
      <c r="J87" s="291"/>
      <c r="K87" s="291"/>
      <c r="L87" s="292"/>
      <c r="M87" s="293"/>
      <c r="N87" s="293"/>
      <c r="O87" s="294"/>
      <c r="P87" s="294"/>
      <c r="Q87" s="295"/>
    </row>
    <row r="88" spans="1:17" s="50" customFormat="1" ht="25" customHeight="1">
      <c r="A88" s="313" t="s">
        <v>290</v>
      </c>
      <c r="B88" s="270" t="s">
        <v>261</v>
      </c>
      <c r="C88" s="272">
        <v>3</v>
      </c>
      <c r="D88" s="272">
        <v>1</v>
      </c>
      <c r="E88" s="272">
        <v>3</v>
      </c>
      <c r="F88" s="290"/>
      <c r="G88" s="289"/>
      <c r="H88" s="289"/>
      <c r="I88" s="289"/>
      <c r="J88" s="291"/>
      <c r="K88" s="291"/>
      <c r="L88" s="292"/>
      <c r="M88" s="293"/>
      <c r="N88" s="293"/>
      <c r="O88" s="294"/>
      <c r="P88" s="294"/>
      <c r="Q88" s="295"/>
    </row>
    <row r="89" spans="1:17" s="50" customFormat="1" ht="25" customHeight="1">
      <c r="A89" s="319"/>
      <c r="B89" s="314" t="s">
        <v>350</v>
      </c>
      <c r="C89" s="315">
        <f>SUM(C74:C88)</f>
        <v>51</v>
      </c>
      <c r="D89" s="315">
        <f>SUM(D74:D88)</f>
        <v>15</v>
      </c>
      <c r="E89" s="315">
        <f>SUM(E74:E88)</f>
        <v>53</v>
      </c>
      <c r="F89" s="290"/>
      <c r="G89" s="289"/>
      <c r="H89" s="289"/>
      <c r="I89" s="289"/>
      <c r="J89" s="291"/>
      <c r="K89" s="291"/>
      <c r="L89" s="292"/>
      <c r="M89" s="293"/>
      <c r="N89" s="293"/>
      <c r="O89" s="294"/>
      <c r="P89" s="294"/>
      <c r="Q89" s="295"/>
    </row>
    <row r="90" spans="1:17" s="50" customFormat="1" ht="25" customHeight="1">
      <c r="A90" s="316">
        <v>2</v>
      </c>
      <c r="B90" s="316" t="s">
        <v>83</v>
      </c>
      <c r="C90" s="272">
        <v>0</v>
      </c>
      <c r="D90" s="272">
        <v>0</v>
      </c>
      <c r="E90" s="272">
        <v>0</v>
      </c>
      <c r="F90" s="290"/>
      <c r="G90" s="289"/>
      <c r="H90" s="289"/>
      <c r="I90" s="289"/>
      <c r="J90" s="291"/>
      <c r="K90" s="291"/>
      <c r="L90" s="292"/>
      <c r="M90" s="293"/>
      <c r="N90" s="293"/>
      <c r="O90" s="294"/>
      <c r="P90" s="294"/>
      <c r="Q90" s="295"/>
    </row>
    <row r="91" spans="1:17" s="50" customFormat="1" ht="25" customHeight="1">
      <c r="A91" s="320"/>
      <c r="B91" s="320" t="s">
        <v>369</v>
      </c>
      <c r="C91" s="321">
        <f>C54+C69+C89</f>
        <v>191</v>
      </c>
      <c r="D91" s="321">
        <f>D54+D69+D89</f>
        <v>65.66</v>
      </c>
      <c r="E91" s="321">
        <f>E54+E69+E89</f>
        <v>206</v>
      </c>
      <c r="F91" s="290"/>
      <c r="G91" s="289"/>
      <c r="H91" s="289"/>
      <c r="I91" s="289"/>
      <c r="J91" s="291"/>
      <c r="K91" s="291"/>
      <c r="L91" s="292"/>
      <c r="M91" s="293"/>
      <c r="N91" s="293"/>
      <c r="O91" s="294"/>
      <c r="P91" s="294"/>
      <c r="Q91" s="295"/>
    </row>
    <row r="92" spans="1:17" s="50" customFormat="1" ht="25" customHeight="1">
      <c r="A92" s="168" t="s">
        <v>18</v>
      </c>
      <c r="B92" s="168" t="s">
        <v>370</v>
      </c>
      <c r="C92" s="268"/>
      <c r="D92" s="268"/>
      <c r="E92" s="268"/>
      <c r="F92" s="268"/>
      <c r="G92" s="268"/>
      <c r="H92" s="268"/>
      <c r="I92" s="178"/>
      <c r="J92" s="178"/>
      <c r="K92" s="178"/>
      <c r="L92" s="178"/>
      <c r="M92" s="178"/>
      <c r="N92" s="178"/>
      <c r="O92" s="178"/>
      <c r="P92" s="178"/>
      <c r="Q92" s="179"/>
    </row>
    <row r="93" spans="1:17" s="50" customFormat="1" ht="25" customHeight="1">
      <c r="A93" s="193" t="s">
        <v>372</v>
      </c>
      <c r="B93" s="193" t="s">
        <v>373</v>
      </c>
      <c r="C93" s="268"/>
      <c r="D93" s="268"/>
      <c r="E93" s="268"/>
      <c r="F93" s="268"/>
      <c r="G93" s="268"/>
      <c r="H93" s="268"/>
      <c r="I93" s="178"/>
      <c r="J93" s="178"/>
      <c r="K93" s="178"/>
      <c r="L93" s="178"/>
      <c r="M93" s="178"/>
      <c r="N93" s="178"/>
      <c r="O93" s="178"/>
      <c r="P93" s="178"/>
      <c r="Q93" s="179"/>
    </row>
    <row r="94" spans="1:17" s="50" customFormat="1" ht="25" customHeight="1">
      <c r="A94" s="193">
        <v>1</v>
      </c>
      <c r="B94" s="193" t="s">
        <v>374</v>
      </c>
      <c r="C94" s="268"/>
      <c r="D94" s="268"/>
      <c r="E94" s="268"/>
      <c r="F94" s="268"/>
      <c r="G94" s="268"/>
      <c r="H94" s="268"/>
      <c r="I94" s="178"/>
      <c r="J94" s="178"/>
      <c r="K94" s="178"/>
      <c r="L94" s="178"/>
      <c r="M94" s="178"/>
      <c r="N94" s="178"/>
      <c r="O94" s="178"/>
      <c r="P94" s="178"/>
      <c r="Q94" s="179"/>
    </row>
    <row r="95" spans="1:17" s="50" customFormat="1" ht="25" customHeight="1">
      <c r="A95" s="194" t="s">
        <v>145</v>
      </c>
      <c r="B95" s="195" t="s">
        <v>159</v>
      </c>
      <c r="C95" s="268"/>
      <c r="D95" s="268"/>
      <c r="E95" s="268"/>
      <c r="F95" s="268"/>
      <c r="G95" s="268"/>
      <c r="H95" s="268"/>
      <c r="I95" s="178"/>
      <c r="J95" s="178"/>
      <c r="K95" s="178"/>
      <c r="L95" s="178"/>
      <c r="M95" s="178"/>
      <c r="N95" s="178"/>
      <c r="O95" s="178"/>
      <c r="P95" s="178"/>
      <c r="Q95" s="179"/>
    </row>
    <row r="96" spans="1:17" s="50" customFormat="1" ht="25" customHeight="1">
      <c r="A96" s="269" t="s">
        <v>224</v>
      </c>
      <c r="B96" s="270" t="s">
        <v>581</v>
      </c>
      <c r="C96" s="271">
        <v>3</v>
      </c>
      <c r="D96" s="271">
        <v>1</v>
      </c>
      <c r="E96" s="271">
        <v>3</v>
      </c>
      <c r="F96" s="180">
        <f t="shared" ref="F96:F119" si="9">I96+J96+K96</f>
        <v>148.5</v>
      </c>
      <c r="G96" s="196">
        <v>60</v>
      </c>
      <c r="H96" s="268">
        <f t="shared" ref="H96:H118" si="10">C96*D96*E96*G96</f>
        <v>540</v>
      </c>
      <c r="I96" s="177">
        <f t="shared" ref="I96:I110" si="11">IF(G96&lt;70, C96*E96*16.5*1, C96*E96*16.5*1.3)</f>
        <v>148.5</v>
      </c>
      <c r="J96" s="197"/>
      <c r="K96" s="197"/>
      <c r="L96" s="178"/>
      <c r="M96" s="178"/>
      <c r="N96" s="178"/>
      <c r="O96" s="178"/>
      <c r="P96" s="178"/>
      <c r="Q96" s="179"/>
    </row>
    <row r="97" spans="1:17" s="50" customFormat="1" ht="25" customHeight="1">
      <c r="A97" s="269" t="s">
        <v>225</v>
      </c>
      <c r="B97" s="270" t="s">
        <v>582</v>
      </c>
      <c r="C97" s="271">
        <v>4</v>
      </c>
      <c r="D97" s="271">
        <v>1.3</v>
      </c>
      <c r="E97" s="271">
        <v>3</v>
      </c>
      <c r="F97" s="180">
        <f t="shared" si="9"/>
        <v>257.40000000000003</v>
      </c>
      <c r="G97" s="196">
        <v>70</v>
      </c>
      <c r="H97" s="268">
        <f t="shared" si="10"/>
        <v>1092</v>
      </c>
      <c r="I97" s="177">
        <f t="shared" si="11"/>
        <v>257.40000000000003</v>
      </c>
      <c r="J97" s="197"/>
      <c r="K97" s="197"/>
      <c r="L97" s="178"/>
      <c r="M97" s="178"/>
      <c r="N97" s="178"/>
      <c r="O97" s="178"/>
      <c r="P97" s="178"/>
      <c r="Q97" s="179"/>
    </row>
    <row r="98" spans="1:17" s="50" customFormat="1" ht="25" customHeight="1">
      <c r="A98" s="269" t="s">
        <v>226</v>
      </c>
      <c r="B98" s="270" t="s">
        <v>583</v>
      </c>
      <c r="C98" s="271">
        <v>1</v>
      </c>
      <c r="D98" s="271">
        <v>1.3</v>
      </c>
      <c r="E98" s="271">
        <v>8</v>
      </c>
      <c r="F98" s="180">
        <f t="shared" si="9"/>
        <v>132</v>
      </c>
      <c r="G98" s="196">
        <v>20</v>
      </c>
      <c r="H98" s="268">
        <f t="shared" si="10"/>
        <v>208</v>
      </c>
      <c r="I98" s="177">
        <f t="shared" si="11"/>
        <v>132</v>
      </c>
      <c r="J98" s="197"/>
      <c r="K98" s="197"/>
      <c r="L98" s="178"/>
      <c r="M98" s="178"/>
      <c r="N98" s="178"/>
      <c r="O98" s="178"/>
      <c r="P98" s="178"/>
      <c r="Q98" s="179"/>
    </row>
    <row r="99" spans="1:17" s="50" customFormat="1" ht="25" customHeight="1">
      <c r="A99" s="269" t="s">
        <v>226</v>
      </c>
      <c r="B99" s="270" t="s">
        <v>584</v>
      </c>
      <c r="C99" s="271">
        <v>1</v>
      </c>
      <c r="D99" s="271">
        <v>1.3</v>
      </c>
      <c r="E99" s="271">
        <v>8</v>
      </c>
      <c r="F99" s="180">
        <f t="shared" si="9"/>
        <v>132</v>
      </c>
      <c r="G99" s="196">
        <v>20</v>
      </c>
      <c r="H99" s="268">
        <f t="shared" si="10"/>
        <v>208</v>
      </c>
      <c r="I99" s="177">
        <f t="shared" si="11"/>
        <v>132</v>
      </c>
      <c r="J99" s="197"/>
      <c r="K99" s="197"/>
      <c r="L99" s="178"/>
      <c r="M99" s="178"/>
      <c r="N99" s="178"/>
      <c r="O99" s="178"/>
      <c r="P99" s="178"/>
      <c r="Q99" s="179"/>
    </row>
    <row r="100" spans="1:17" s="50" customFormat="1" ht="25" customHeight="1">
      <c r="A100" s="269" t="s">
        <v>227</v>
      </c>
      <c r="B100" s="270" t="s">
        <v>585</v>
      </c>
      <c r="C100" s="271">
        <v>1</v>
      </c>
      <c r="D100" s="271">
        <v>1.3</v>
      </c>
      <c r="E100" s="271">
        <v>7</v>
      </c>
      <c r="F100" s="180">
        <f t="shared" si="9"/>
        <v>115.5</v>
      </c>
      <c r="G100" s="196">
        <v>60</v>
      </c>
      <c r="H100" s="268">
        <f t="shared" si="10"/>
        <v>546</v>
      </c>
      <c r="I100" s="177">
        <f t="shared" si="11"/>
        <v>115.5</v>
      </c>
      <c r="J100" s="197"/>
      <c r="K100" s="197"/>
      <c r="L100" s="178"/>
      <c r="M100" s="178"/>
      <c r="N100" s="178"/>
      <c r="O100" s="178"/>
      <c r="P100" s="178"/>
      <c r="Q100" s="179"/>
    </row>
    <row r="101" spans="1:17" s="50" customFormat="1" ht="25" customHeight="1">
      <c r="A101" s="269" t="s">
        <v>228</v>
      </c>
      <c r="B101" s="270" t="s">
        <v>380</v>
      </c>
      <c r="C101" s="271">
        <v>4</v>
      </c>
      <c r="D101" s="271">
        <v>1</v>
      </c>
      <c r="E101" s="271">
        <v>3</v>
      </c>
      <c r="F101" s="180">
        <f t="shared" si="9"/>
        <v>198</v>
      </c>
      <c r="G101" s="196">
        <v>25</v>
      </c>
      <c r="H101" s="268">
        <f t="shared" si="10"/>
        <v>300</v>
      </c>
      <c r="I101" s="177">
        <f t="shared" si="11"/>
        <v>198</v>
      </c>
      <c r="J101" s="197"/>
      <c r="K101" s="197"/>
      <c r="L101" s="178"/>
      <c r="M101" s="178"/>
      <c r="N101" s="178"/>
      <c r="O101" s="178"/>
      <c r="P101" s="178"/>
      <c r="Q101" s="179"/>
    </row>
    <row r="102" spans="1:17" s="50" customFormat="1" ht="25" customHeight="1">
      <c r="A102" s="269" t="s">
        <v>280</v>
      </c>
      <c r="B102" s="270" t="s">
        <v>586</v>
      </c>
      <c r="C102" s="271">
        <v>2</v>
      </c>
      <c r="D102" s="271">
        <v>1</v>
      </c>
      <c r="E102" s="271">
        <v>3</v>
      </c>
      <c r="F102" s="180">
        <f t="shared" si="9"/>
        <v>128.70000000000002</v>
      </c>
      <c r="G102" s="196">
        <v>70</v>
      </c>
      <c r="H102" s="268">
        <f t="shared" si="10"/>
        <v>420</v>
      </c>
      <c r="I102" s="177">
        <f t="shared" si="11"/>
        <v>128.70000000000002</v>
      </c>
      <c r="J102" s="197"/>
      <c r="K102" s="197"/>
      <c r="L102" s="178"/>
      <c r="M102" s="178"/>
      <c r="N102" s="178"/>
      <c r="O102" s="178"/>
      <c r="P102" s="178"/>
      <c r="Q102" s="179"/>
    </row>
    <row r="103" spans="1:17" s="50" customFormat="1" ht="25" customHeight="1">
      <c r="A103" s="269" t="s">
        <v>281</v>
      </c>
      <c r="B103" s="270" t="s">
        <v>587</v>
      </c>
      <c r="C103" s="271">
        <v>3</v>
      </c>
      <c r="D103" s="271">
        <v>1</v>
      </c>
      <c r="E103" s="271">
        <v>2</v>
      </c>
      <c r="F103" s="180">
        <f t="shared" si="9"/>
        <v>99</v>
      </c>
      <c r="G103" s="196">
        <v>60</v>
      </c>
      <c r="H103" s="268">
        <f t="shared" si="10"/>
        <v>360</v>
      </c>
      <c r="I103" s="177">
        <f t="shared" si="11"/>
        <v>99</v>
      </c>
      <c r="J103" s="197"/>
      <c r="K103" s="197"/>
      <c r="L103" s="178"/>
      <c r="M103" s="178"/>
      <c r="N103" s="178"/>
      <c r="O103" s="178"/>
      <c r="P103" s="178"/>
      <c r="Q103" s="179"/>
    </row>
    <row r="104" spans="1:17" s="50" customFormat="1" ht="25" customHeight="1">
      <c r="A104" s="269" t="s">
        <v>282</v>
      </c>
      <c r="B104" s="270" t="s">
        <v>588</v>
      </c>
      <c r="C104" s="271">
        <v>3</v>
      </c>
      <c r="D104" s="271">
        <v>1.1000000000000001</v>
      </c>
      <c r="E104" s="271">
        <v>3</v>
      </c>
      <c r="F104" s="180">
        <f t="shared" si="9"/>
        <v>193.05</v>
      </c>
      <c r="G104" s="196">
        <v>70</v>
      </c>
      <c r="H104" s="268">
        <f t="shared" si="10"/>
        <v>693</v>
      </c>
      <c r="I104" s="177">
        <f t="shared" si="11"/>
        <v>193.05</v>
      </c>
      <c r="J104" s="197"/>
      <c r="K104" s="197"/>
      <c r="L104" s="178"/>
      <c r="M104" s="178"/>
      <c r="N104" s="178"/>
      <c r="O104" s="178"/>
      <c r="P104" s="178"/>
      <c r="Q104" s="179"/>
    </row>
    <row r="105" spans="1:17" s="50" customFormat="1" ht="25" customHeight="1">
      <c r="A105" s="269" t="s">
        <v>283</v>
      </c>
      <c r="B105" s="270" t="s">
        <v>589</v>
      </c>
      <c r="C105" s="272">
        <v>3</v>
      </c>
      <c r="D105" s="272">
        <v>1</v>
      </c>
      <c r="E105" s="272">
        <v>2</v>
      </c>
      <c r="F105" s="180">
        <f t="shared" si="9"/>
        <v>128.70000000000002</v>
      </c>
      <c r="G105" s="198">
        <v>70</v>
      </c>
      <c r="H105" s="268">
        <f t="shared" si="10"/>
        <v>420</v>
      </c>
      <c r="I105" s="177">
        <f t="shared" si="11"/>
        <v>128.70000000000002</v>
      </c>
      <c r="J105" s="197"/>
      <c r="K105" s="197"/>
      <c r="L105" s="178"/>
      <c r="M105" s="178"/>
      <c r="N105" s="178"/>
      <c r="O105" s="178"/>
      <c r="P105" s="178"/>
      <c r="Q105" s="179"/>
    </row>
    <row r="106" spans="1:17" s="50" customFormat="1" ht="25" customHeight="1">
      <c r="A106" s="269" t="s">
        <v>284</v>
      </c>
      <c r="B106" s="270" t="s">
        <v>590</v>
      </c>
      <c r="C106" s="272">
        <v>4</v>
      </c>
      <c r="D106" s="272">
        <v>1</v>
      </c>
      <c r="E106" s="272">
        <v>3</v>
      </c>
      <c r="F106" s="180">
        <f t="shared" si="9"/>
        <v>257.40000000000003</v>
      </c>
      <c r="G106" s="198">
        <v>70</v>
      </c>
      <c r="H106" s="268">
        <f t="shared" si="10"/>
        <v>840</v>
      </c>
      <c r="I106" s="177">
        <f t="shared" si="11"/>
        <v>257.40000000000003</v>
      </c>
      <c r="J106" s="197"/>
      <c r="K106" s="197"/>
      <c r="L106" s="178"/>
      <c r="M106" s="178"/>
      <c r="N106" s="178"/>
      <c r="O106" s="178"/>
      <c r="P106" s="178"/>
      <c r="Q106" s="179"/>
    </row>
    <row r="107" spans="1:17" s="50" customFormat="1" ht="25" customHeight="1">
      <c r="A107" s="269" t="s">
        <v>287</v>
      </c>
      <c r="B107" s="270" t="s">
        <v>591</v>
      </c>
      <c r="C107" s="272">
        <v>2</v>
      </c>
      <c r="D107" s="272">
        <v>1.3</v>
      </c>
      <c r="E107" s="272">
        <v>6</v>
      </c>
      <c r="F107" s="180">
        <f t="shared" si="9"/>
        <v>198</v>
      </c>
      <c r="G107" s="198">
        <v>25</v>
      </c>
      <c r="H107" s="268">
        <f t="shared" si="10"/>
        <v>390.00000000000006</v>
      </c>
      <c r="I107" s="177">
        <f t="shared" si="11"/>
        <v>198</v>
      </c>
      <c r="J107" s="197"/>
      <c r="K107" s="197"/>
      <c r="L107" s="178"/>
      <c r="M107" s="178"/>
      <c r="N107" s="178"/>
      <c r="O107" s="178"/>
      <c r="P107" s="178"/>
      <c r="Q107" s="179"/>
    </row>
    <row r="108" spans="1:17" s="50" customFormat="1" ht="25" customHeight="1">
      <c r="A108" s="269" t="s">
        <v>288</v>
      </c>
      <c r="B108" s="270" t="s">
        <v>592</v>
      </c>
      <c r="C108" s="272">
        <v>3</v>
      </c>
      <c r="D108" s="272">
        <v>1</v>
      </c>
      <c r="E108" s="272">
        <v>2</v>
      </c>
      <c r="F108" s="180">
        <f t="shared" si="9"/>
        <v>128.70000000000002</v>
      </c>
      <c r="G108" s="198">
        <v>70</v>
      </c>
      <c r="H108" s="268">
        <f t="shared" si="10"/>
        <v>420</v>
      </c>
      <c r="I108" s="177">
        <f t="shared" si="11"/>
        <v>128.70000000000002</v>
      </c>
      <c r="J108" s="197"/>
      <c r="K108" s="197"/>
      <c r="L108" s="178"/>
      <c r="M108" s="178"/>
      <c r="N108" s="178"/>
      <c r="O108" s="178"/>
      <c r="P108" s="178"/>
      <c r="Q108" s="179"/>
    </row>
    <row r="109" spans="1:17" s="50" customFormat="1" ht="25" customHeight="1">
      <c r="A109" s="269" t="s">
        <v>289</v>
      </c>
      <c r="B109" s="270" t="s">
        <v>492</v>
      </c>
      <c r="C109" s="272">
        <v>2</v>
      </c>
      <c r="D109" s="272">
        <v>1</v>
      </c>
      <c r="E109" s="272">
        <v>1</v>
      </c>
      <c r="F109" s="180">
        <f t="shared" si="9"/>
        <v>33</v>
      </c>
      <c r="G109" s="198">
        <v>40</v>
      </c>
      <c r="H109" s="268">
        <f t="shared" si="10"/>
        <v>80</v>
      </c>
      <c r="I109" s="177">
        <f t="shared" si="11"/>
        <v>33</v>
      </c>
      <c r="J109" s="197"/>
      <c r="K109" s="197"/>
      <c r="L109" s="178"/>
      <c r="M109" s="178"/>
      <c r="N109" s="178"/>
      <c r="O109" s="178"/>
      <c r="P109" s="178"/>
      <c r="Q109" s="179"/>
    </row>
    <row r="110" spans="1:17" s="50" customFormat="1" ht="25" customHeight="1">
      <c r="A110" s="269" t="s">
        <v>290</v>
      </c>
      <c r="B110" s="273" t="s">
        <v>593</v>
      </c>
      <c r="C110" s="272">
        <v>4</v>
      </c>
      <c r="D110" s="272">
        <v>1</v>
      </c>
      <c r="E110" s="272">
        <v>3</v>
      </c>
      <c r="F110" s="180">
        <f t="shared" si="9"/>
        <v>257.40000000000003</v>
      </c>
      <c r="G110" s="198">
        <v>70</v>
      </c>
      <c r="H110" s="268">
        <f t="shared" si="10"/>
        <v>840</v>
      </c>
      <c r="I110" s="177">
        <f t="shared" si="11"/>
        <v>257.40000000000003</v>
      </c>
      <c r="J110" s="172">
        <v>0</v>
      </c>
      <c r="K110" s="172">
        <v>0</v>
      </c>
      <c r="L110" s="178"/>
      <c r="M110" s="178"/>
      <c r="N110" s="178"/>
      <c r="O110" s="178"/>
      <c r="P110" s="178"/>
      <c r="Q110" s="179"/>
    </row>
    <row r="111" spans="1:17" s="50" customFormat="1" ht="25" customHeight="1">
      <c r="A111" s="269" t="s">
        <v>390</v>
      </c>
      <c r="B111" s="273" t="s">
        <v>594</v>
      </c>
      <c r="C111" s="272">
        <v>3</v>
      </c>
      <c r="D111" s="272">
        <v>1.2</v>
      </c>
      <c r="E111" s="272">
        <v>2</v>
      </c>
      <c r="F111" s="180">
        <f t="shared" si="9"/>
        <v>30</v>
      </c>
      <c r="G111" s="198">
        <v>25</v>
      </c>
      <c r="H111" s="268">
        <f t="shared" si="10"/>
        <v>179.99999999999997</v>
      </c>
      <c r="I111" s="177">
        <f>E111*15</f>
        <v>30</v>
      </c>
      <c r="J111" s="178"/>
      <c r="K111" s="178"/>
      <c r="L111" s="178"/>
      <c r="M111" s="178"/>
      <c r="N111" s="178"/>
      <c r="O111" s="178"/>
      <c r="P111" s="178"/>
      <c r="Q111" s="179"/>
    </row>
    <row r="112" spans="1:17" s="50" customFormat="1" ht="25" customHeight="1">
      <c r="A112" s="269" t="s">
        <v>391</v>
      </c>
      <c r="B112" s="273" t="s">
        <v>595</v>
      </c>
      <c r="C112" s="272">
        <v>4</v>
      </c>
      <c r="D112" s="272">
        <v>1</v>
      </c>
      <c r="E112" s="272">
        <v>3</v>
      </c>
      <c r="F112" s="180">
        <f t="shared" si="9"/>
        <v>198</v>
      </c>
      <c r="G112" s="198">
        <v>25</v>
      </c>
      <c r="H112" s="268">
        <f t="shared" si="10"/>
        <v>300</v>
      </c>
      <c r="I112" s="176"/>
      <c r="J112" s="177">
        <f>IF(G112&lt;70, C112*E112*16.5*1, C112*E112*16.5*1.3)</f>
        <v>198</v>
      </c>
      <c r="K112" s="178"/>
      <c r="L112" s="178"/>
      <c r="M112" s="178"/>
      <c r="N112" s="178"/>
      <c r="O112" s="178"/>
      <c r="P112" s="178"/>
      <c r="Q112" s="179"/>
    </row>
    <row r="113" spans="1:17" s="50" customFormat="1" ht="25" customHeight="1">
      <c r="A113" s="269" t="s">
        <v>392</v>
      </c>
      <c r="B113" s="273" t="s">
        <v>596</v>
      </c>
      <c r="C113" s="272">
        <v>4</v>
      </c>
      <c r="D113" s="272">
        <v>1</v>
      </c>
      <c r="E113" s="272">
        <v>3</v>
      </c>
      <c r="F113" s="180">
        <f t="shared" si="9"/>
        <v>257.40000000000003</v>
      </c>
      <c r="G113" s="198">
        <v>70</v>
      </c>
      <c r="H113" s="268">
        <f t="shared" si="10"/>
        <v>840</v>
      </c>
      <c r="I113" s="177">
        <f>IF(G113&lt;70, C113*E113*16.5*1, C113*E113*16.5*1.3)</f>
        <v>257.40000000000003</v>
      </c>
      <c r="J113" s="178"/>
      <c r="K113" s="178"/>
      <c r="L113" s="178"/>
      <c r="M113" s="178"/>
      <c r="N113" s="178"/>
      <c r="O113" s="178"/>
      <c r="P113" s="178"/>
      <c r="Q113" s="179"/>
    </row>
    <row r="114" spans="1:17" s="50" customFormat="1" ht="25" customHeight="1">
      <c r="A114" s="269" t="s">
        <v>393</v>
      </c>
      <c r="B114" s="273" t="s">
        <v>371</v>
      </c>
      <c r="C114" s="272">
        <v>2</v>
      </c>
      <c r="D114" s="272">
        <v>1.3</v>
      </c>
      <c r="E114" s="272">
        <v>2</v>
      </c>
      <c r="F114" s="180">
        <f t="shared" si="9"/>
        <v>85.8</v>
      </c>
      <c r="G114" s="198">
        <v>70</v>
      </c>
      <c r="H114" s="268">
        <f t="shared" si="10"/>
        <v>364</v>
      </c>
      <c r="I114" s="177">
        <f t="shared" ref="I114:I119" si="12">IF(G114&lt;70, C114*E114*16.5*1, C114*E114*16.5*1.3)</f>
        <v>85.8</v>
      </c>
      <c r="J114" s="178"/>
      <c r="K114" s="178"/>
      <c r="L114" s="178"/>
      <c r="M114" s="178"/>
      <c r="N114" s="178"/>
      <c r="O114" s="178"/>
      <c r="P114" s="178"/>
      <c r="Q114" s="179"/>
    </row>
    <row r="115" spans="1:17" s="50" customFormat="1" ht="25" customHeight="1">
      <c r="A115" s="269" t="s">
        <v>394</v>
      </c>
      <c r="B115" s="273" t="s">
        <v>597</v>
      </c>
      <c r="C115" s="272">
        <v>4</v>
      </c>
      <c r="D115" s="272">
        <v>1.3</v>
      </c>
      <c r="E115" s="272">
        <v>3</v>
      </c>
      <c r="F115" s="180">
        <f t="shared" si="9"/>
        <v>257.40000000000003</v>
      </c>
      <c r="G115" s="198">
        <v>70</v>
      </c>
      <c r="H115" s="268">
        <f t="shared" si="10"/>
        <v>1092</v>
      </c>
      <c r="I115" s="177">
        <f t="shared" si="12"/>
        <v>257.40000000000003</v>
      </c>
      <c r="J115" s="178"/>
      <c r="K115" s="178"/>
      <c r="L115" s="178"/>
      <c r="M115" s="178"/>
      <c r="N115" s="178"/>
      <c r="O115" s="178"/>
      <c r="P115" s="178"/>
      <c r="Q115" s="179"/>
    </row>
    <row r="116" spans="1:17" s="50" customFormat="1" ht="25" customHeight="1">
      <c r="A116" s="269"/>
      <c r="B116" s="273" t="s">
        <v>598</v>
      </c>
      <c r="C116" s="272">
        <v>3</v>
      </c>
      <c r="D116" s="272">
        <v>1</v>
      </c>
      <c r="E116" s="272">
        <v>2</v>
      </c>
      <c r="F116" s="180">
        <f t="shared" si="9"/>
        <v>128.70000000000002</v>
      </c>
      <c r="G116" s="198">
        <v>70</v>
      </c>
      <c r="H116" s="268">
        <f t="shared" si="10"/>
        <v>420</v>
      </c>
      <c r="I116" s="177">
        <f t="shared" si="12"/>
        <v>128.70000000000002</v>
      </c>
      <c r="J116" s="197">
        <v>0</v>
      </c>
      <c r="K116" s="197">
        <v>0</v>
      </c>
      <c r="L116" s="178"/>
      <c r="M116" s="178"/>
      <c r="N116" s="178"/>
      <c r="O116" s="178"/>
      <c r="P116" s="178"/>
      <c r="Q116" s="179"/>
    </row>
    <row r="117" spans="1:17" s="50" customFormat="1" ht="25" customHeight="1">
      <c r="A117" s="269" t="s">
        <v>395</v>
      </c>
      <c r="B117" s="273" t="s">
        <v>599</v>
      </c>
      <c r="C117" s="272">
        <v>2</v>
      </c>
      <c r="D117" s="272">
        <v>1.3</v>
      </c>
      <c r="E117" s="272">
        <v>2</v>
      </c>
      <c r="F117" s="180">
        <f t="shared" si="9"/>
        <v>85.8</v>
      </c>
      <c r="G117" s="198">
        <v>70</v>
      </c>
      <c r="H117" s="268">
        <f t="shared" si="10"/>
        <v>364</v>
      </c>
      <c r="I117" s="177">
        <f t="shared" si="12"/>
        <v>85.8</v>
      </c>
      <c r="J117" s="197">
        <v>0</v>
      </c>
      <c r="K117" s="197">
        <v>0</v>
      </c>
      <c r="L117" s="178"/>
      <c r="M117" s="178"/>
      <c r="N117" s="178"/>
      <c r="O117" s="178"/>
      <c r="P117" s="178"/>
      <c r="Q117" s="179"/>
    </row>
    <row r="118" spans="1:17" s="50" customFormat="1" ht="25" customHeight="1">
      <c r="A118" s="269"/>
      <c r="B118" s="273" t="s">
        <v>600</v>
      </c>
      <c r="C118" s="272">
        <v>4</v>
      </c>
      <c r="D118" s="272">
        <v>1</v>
      </c>
      <c r="E118" s="272">
        <v>3</v>
      </c>
      <c r="F118" s="180">
        <f t="shared" si="9"/>
        <v>257.40000000000003</v>
      </c>
      <c r="G118" s="268">
        <v>70</v>
      </c>
      <c r="H118" s="268">
        <f t="shared" si="10"/>
        <v>840</v>
      </c>
      <c r="I118" s="177">
        <f t="shared" si="12"/>
        <v>257.40000000000003</v>
      </c>
      <c r="J118" s="197">
        <v>0</v>
      </c>
      <c r="K118" s="197">
        <v>0</v>
      </c>
      <c r="L118" s="178"/>
      <c r="M118" s="178"/>
      <c r="N118" s="178"/>
      <c r="O118" s="178"/>
      <c r="P118" s="178"/>
      <c r="Q118" s="179"/>
    </row>
    <row r="119" spans="1:17" s="50" customFormat="1" ht="25" customHeight="1">
      <c r="A119" s="269" t="s">
        <v>396</v>
      </c>
      <c r="B119" s="273" t="s">
        <v>601</v>
      </c>
      <c r="C119" s="272">
        <v>4</v>
      </c>
      <c r="D119" s="272">
        <v>1.1200000000000001</v>
      </c>
      <c r="E119" s="272">
        <v>3</v>
      </c>
      <c r="F119" s="180">
        <f t="shared" si="9"/>
        <v>198</v>
      </c>
      <c r="G119" s="198">
        <v>24</v>
      </c>
      <c r="H119" s="268">
        <f>C119*D119*E119*G119</f>
        <v>322.56000000000006</v>
      </c>
      <c r="I119" s="177">
        <f t="shared" si="12"/>
        <v>198</v>
      </c>
      <c r="J119" s="197"/>
      <c r="K119" s="197"/>
      <c r="L119" s="178"/>
      <c r="M119" s="178"/>
      <c r="N119" s="178"/>
      <c r="O119" s="178"/>
      <c r="P119" s="178"/>
      <c r="Q119" s="179"/>
    </row>
    <row r="120" spans="1:17" s="50" customFormat="1" ht="25" customHeight="1">
      <c r="A120" s="269"/>
      <c r="B120" s="273"/>
      <c r="C120" s="272">
        <f>SUM(C96:C119)</f>
        <v>70</v>
      </c>
      <c r="D120" s="272">
        <f>SUM(D96:D119)</f>
        <v>26.820000000000004</v>
      </c>
      <c r="E120" s="272">
        <f>SUM(E96:E119)</f>
        <v>80</v>
      </c>
      <c r="F120" s="186"/>
      <c r="G120" s="186"/>
      <c r="H120" s="186"/>
      <c r="I120" s="172"/>
      <c r="J120" s="172"/>
      <c r="K120" s="172"/>
      <c r="L120" s="178"/>
      <c r="M120" s="178"/>
      <c r="N120" s="178"/>
      <c r="O120" s="178"/>
      <c r="P120" s="178"/>
      <c r="Q120" s="179"/>
    </row>
    <row r="121" spans="1:17" s="50" customFormat="1" ht="25" customHeight="1">
      <c r="A121" s="282" t="s">
        <v>146</v>
      </c>
      <c r="B121" s="283" t="s">
        <v>149</v>
      </c>
      <c r="C121" s="276"/>
      <c r="D121" s="276"/>
      <c r="E121" s="276"/>
      <c r="F121" s="186"/>
      <c r="G121" s="186"/>
      <c r="H121" s="186"/>
      <c r="I121" s="172"/>
      <c r="J121" s="172"/>
      <c r="K121" s="172"/>
      <c r="L121" s="178"/>
      <c r="M121" s="178"/>
      <c r="N121" s="178"/>
      <c r="O121" s="178"/>
      <c r="P121" s="178"/>
      <c r="Q121" s="179"/>
    </row>
    <row r="122" spans="1:17" s="50" customFormat="1" ht="25" customHeight="1">
      <c r="A122" s="274" t="s">
        <v>230</v>
      </c>
      <c r="B122" s="275" t="s">
        <v>152</v>
      </c>
      <c r="C122" s="276"/>
      <c r="D122" s="276"/>
      <c r="E122" s="276"/>
      <c r="F122" s="186"/>
      <c r="G122" s="186"/>
      <c r="H122" s="186"/>
      <c r="I122" s="172"/>
      <c r="J122" s="172"/>
      <c r="K122" s="172"/>
      <c r="L122" s="178"/>
      <c r="M122" s="178"/>
      <c r="N122" s="178"/>
      <c r="O122" s="178"/>
      <c r="P122" s="178"/>
      <c r="Q122" s="179"/>
    </row>
    <row r="123" spans="1:17" s="50" customFormat="1" ht="25" customHeight="1">
      <c r="A123" s="274" t="s">
        <v>231</v>
      </c>
      <c r="B123" s="275" t="s">
        <v>151</v>
      </c>
      <c r="C123" s="276"/>
      <c r="D123" s="276"/>
      <c r="E123" s="276"/>
      <c r="F123" s="186"/>
      <c r="G123" s="186"/>
      <c r="H123" s="186"/>
      <c r="I123" s="172"/>
      <c r="J123" s="172"/>
      <c r="K123" s="172"/>
      <c r="L123" s="178"/>
      <c r="M123" s="178"/>
      <c r="N123" s="178"/>
      <c r="O123" s="178"/>
      <c r="P123" s="178"/>
      <c r="Q123" s="179"/>
    </row>
    <row r="124" spans="1:17" s="50" customFormat="1" ht="25" customHeight="1">
      <c r="A124" s="274" t="s">
        <v>232</v>
      </c>
      <c r="B124" s="275" t="s">
        <v>153</v>
      </c>
      <c r="C124" s="276"/>
      <c r="D124" s="276"/>
      <c r="E124" s="276"/>
      <c r="F124" s="253">
        <f>I124</f>
        <v>0</v>
      </c>
      <c r="G124" s="186">
        <v>25</v>
      </c>
      <c r="H124" s="268">
        <f>C124*D124*E124*G124</f>
        <v>0</v>
      </c>
      <c r="I124" s="180">
        <f>2*G124*E124</f>
        <v>0</v>
      </c>
      <c r="J124" s="172"/>
      <c r="K124" s="172"/>
      <c r="L124" s="178"/>
      <c r="M124" s="178"/>
      <c r="N124" s="178"/>
      <c r="O124" s="178"/>
      <c r="P124" s="178"/>
      <c r="Q124" s="179"/>
    </row>
    <row r="125" spans="1:17" s="50" customFormat="1" ht="25" customHeight="1">
      <c r="A125" s="274" t="s">
        <v>233</v>
      </c>
      <c r="B125" s="275" t="s">
        <v>154</v>
      </c>
      <c r="C125" s="276">
        <v>4</v>
      </c>
      <c r="D125" s="276">
        <v>1.4</v>
      </c>
      <c r="E125" s="276">
        <v>6</v>
      </c>
      <c r="F125" s="186"/>
      <c r="G125" s="186"/>
      <c r="H125" s="186"/>
      <c r="I125" s="172"/>
      <c r="J125" s="172"/>
      <c r="K125" s="172"/>
      <c r="L125" s="178"/>
      <c r="M125" s="178"/>
      <c r="N125" s="178"/>
      <c r="O125" s="178"/>
      <c r="P125" s="178"/>
      <c r="Q125" s="179"/>
    </row>
    <row r="126" spans="1:17" s="50" customFormat="1" ht="25" customHeight="1">
      <c r="A126" s="274" t="s">
        <v>234</v>
      </c>
      <c r="B126" s="275" t="s">
        <v>155</v>
      </c>
      <c r="C126" s="276"/>
      <c r="D126" s="276"/>
      <c r="E126" s="276"/>
      <c r="F126" s="268">
        <f t="shared" ref="F126:K126" si="13">SUM(F96:F125)</f>
        <v>3905.8500000000008</v>
      </c>
      <c r="G126" s="172">
        <f t="shared" si="13"/>
        <v>1319</v>
      </c>
      <c r="H126" s="172">
        <f t="shared" si="13"/>
        <v>12079.56</v>
      </c>
      <c r="I126" s="172">
        <f t="shared" si="13"/>
        <v>3707.8500000000008</v>
      </c>
      <c r="J126" s="172">
        <f t="shared" si="13"/>
        <v>198</v>
      </c>
      <c r="K126" s="172">
        <f t="shared" si="13"/>
        <v>0</v>
      </c>
      <c r="L126" s="178"/>
      <c r="M126" s="178"/>
      <c r="N126" s="178"/>
      <c r="O126" s="178"/>
      <c r="P126" s="178"/>
      <c r="Q126" s="179"/>
    </row>
    <row r="127" spans="1:17" s="50" customFormat="1" ht="25" customHeight="1">
      <c r="A127" s="274"/>
      <c r="B127" s="286" t="s">
        <v>375</v>
      </c>
      <c r="C127" s="276">
        <v>4</v>
      </c>
      <c r="D127" s="276">
        <v>1.4</v>
      </c>
      <c r="E127" s="276">
        <v>6</v>
      </c>
      <c r="F127" s="268"/>
      <c r="G127" s="172"/>
      <c r="H127" s="172"/>
      <c r="I127" s="172"/>
      <c r="J127" s="172"/>
      <c r="K127" s="172"/>
      <c r="L127" s="178"/>
      <c r="M127" s="178"/>
      <c r="N127" s="178"/>
      <c r="O127" s="178"/>
      <c r="P127" s="178"/>
      <c r="Q127" s="179"/>
    </row>
    <row r="128" spans="1:17" s="50" customFormat="1" ht="25" customHeight="1">
      <c r="A128" s="277">
        <v>2</v>
      </c>
      <c r="B128" s="277" t="s">
        <v>494</v>
      </c>
      <c r="C128" s="276"/>
      <c r="D128" s="276"/>
      <c r="E128" s="276"/>
      <c r="F128" s="196"/>
      <c r="G128" s="198">
        <v>70</v>
      </c>
      <c r="H128" s="268"/>
      <c r="I128" s="268"/>
      <c r="J128" s="197">
        <v>5</v>
      </c>
      <c r="K128" s="176"/>
      <c r="L128" s="178"/>
      <c r="M128" s="178"/>
      <c r="N128" s="178"/>
      <c r="O128" s="178"/>
      <c r="P128" s="178"/>
      <c r="Q128" s="1872" t="s">
        <v>520</v>
      </c>
    </row>
    <row r="129" spans="1:17" s="50" customFormat="1" ht="25" customHeight="1">
      <c r="A129" s="278" t="s">
        <v>145</v>
      </c>
      <c r="B129" s="279" t="s">
        <v>163</v>
      </c>
      <c r="C129" s="276"/>
      <c r="D129" s="276"/>
      <c r="E129" s="276"/>
      <c r="F129" s="196"/>
      <c r="G129" s="198">
        <v>70</v>
      </c>
      <c r="H129" s="268"/>
      <c r="I129" s="268"/>
      <c r="J129" s="197">
        <v>5</v>
      </c>
      <c r="K129" s="176"/>
      <c r="L129" s="178"/>
      <c r="M129" s="178"/>
      <c r="N129" s="178"/>
      <c r="O129" s="178"/>
      <c r="P129" s="178"/>
      <c r="Q129" s="1872"/>
    </row>
    <row r="130" spans="1:17" s="50" customFormat="1" ht="25" customHeight="1">
      <c r="A130" s="275" t="s">
        <v>224</v>
      </c>
      <c r="B130" s="280" t="s">
        <v>602</v>
      </c>
      <c r="C130" s="276">
        <v>3</v>
      </c>
      <c r="D130" s="276">
        <v>1</v>
      </c>
      <c r="E130" s="276">
        <v>1</v>
      </c>
      <c r="F130" s="180"/>
      <c r="G130" s="198">
        <v>70</v>
      </c>
      <c r="H130" s="176"/>
      <c r="I130" s="176"/>
      <c r="J130" s="197">
        <v>5</v>
      </c>
      <c r="K130" s="176"/>
      <c r="L130" s="176"/>
      <c r="M130" s="178"/>
      <c r="N130" s="178"/>
      <c r="O130" s="178"/>
      <c r="P130" s="178"/>
      <c r="Q130" s="1872"/>
    </row>
    <row r="131" spans="1:17" s="50" customFormat="1" ht="25" customHeight="1">
      <c r="A131" s="275" t="s">
        <v>225</v>
      </c>
      <c r="B131" s="280" t="s">
        <v>603</v>
      </c>
      <c r="C131" s="276">
        <v>3</v>
      </c>
      <c r="D131" s="276">
        <v>1</v>
      </c>
      <c r="E131" s="276">
        <v>1</v>
      </c>
      <c r="F131" s="180"/>
      <c r="G131" s="198">
        <v>70</v>
      </c>
      <c r="H131" s="176"/>
      <c r="I131" s="176"/>
      <c r="J131" s="197">
        <v>5</v>
      </c>
      <c r="K131" s="176"/>
      <c r="L131" s="176"/>
      <c r="M131" s="178"/>
      <c r="N131" s="178"/>
      <c r="O131" s="178"/>
      <c r="P131" s="178"/>
      <c r="Q131" s="1872"/>
    </row>
    <row r="132" spans="1:17" s="50" customFormat="1" ht="25" customHeight="1">
      <c r="A132" s="275" t="s">
        <v>226</v>
      </c>
      <c r="B132" s="280" t="s">
        <v>604</v>
      </c>
      <c r="C132" s="276">
        <v>3</v>
      </c>
      <c r="D132" s="276">
        <v>1</v>
      </c>
      <c r="E132" s="276">
        <v>1</v>
      </c>
      <c r="F132" s="180"/>
      <c r="G132" s="198">
        <v>70</v>
      </c>
      <c r="H132" s="176"/>
      <c r="I132" s="176"/>
      <c r="J132" s="197">
        <v>5</v>
      </c>
      <c r="K132" s="176"/>
      <c r="L132" s="176"/>
      <c r="M132" s="178"/>
      <c r="N132" s="178"/>
      <c r="O132" s="178"/>
      <c r="P132" s="178"/>
      <c r="Q132" s="1872"/>
    </row>
    <row r="133" spans="1:17" s="50" customFormat="1" ht="25" customHeight="1">
      <c r="A133" s="275" t="s">
        <v>227</v>
      </c>
      <c r="B133" s="280" t="s">
        <v>605</v>
      </c>
      <c r="C133" s="276">
        <v>3</v>
      </c>
      <c r="D133" s="276">
        <v>1</v>
      </c>
      <c r="E133" s="276">
        <v>1</v>
      </c>
      <c r="F133" s="180"/>
      <c r="G133" s="198">
        <v>70</v>
      </c>
      <c r="H133" s="176"/>
      <c r="I133" s="176"/>
      <c r="J133" s="197">
        <v>5</v>
      </c>
      <c r="K133" s="176"/>
      <c r="L133" s="176"/>
      <c r="M133" s="178"/>
      <c r="N133" s="178"/>
      <c r="O133" s="178"/>
      <c r="P133" s="178"/>
      <c r="Q133" s="1872"/>
    </row>
    <row r="134" spans="1:17" s="50" customFormat="1" ht="25" customHeight="1">
      <c r="A134" s="275" t="s">
        <v>228</v>
      </c>
      <c r="B134" s="275" t="s">
        <v>493</v>
      </c>
      <c r="C134" s="276">
        <v>3</v>
      </c>
      <c r="D134" s="276">
        <v>1</v>
      </c>
      <c r="E134" s="276">
        <v>1</v>
      </c>
      <c r="F134" s="180"/>
      <c r="G134" s="198">
        <v>70</v>
      </c>
      <c r="H134" s="176"/>
      <c r="I134" s="176"/>
      <c r="J134" s="197">
        <v>5</v>
      </c>
      <c r="K134" s="176"/>
      <c r="L134" s="176"/>
      <c r="M134" s="178"/>
      <c r="N134" s="178"/>
      <c r="O134" s="178"/>
      <c r="P134" s="178"/>
      <c r="Q134" s="1872"/>
    </row>
    <row r="135" spans="1:17" s="50" customFormat="1" ht="25" customHeight="1">
      <c r="A135" s="275" t="s">
        <v>229</v>
      </c>
      <c r="B135" s="281" t="s">
        <v>606</v>
      </c>
      <c r="C135" s="276">
        <v>3</v>
      </c>
      <c r="D135" s="276">
        <v>1</v>
      </c>
      <c r="E135" s="276">
        <v>1</v>
      </c>
      <c r="F135" s="186"/>
      <c r="G135" s="186"/>
      <c r="H135" s="186"/>
      <c r="I135" s="172"/>
      <c r="J135" s="172"/>
      <c r="K135" s="172"/>
      <c r="L135" s="178"/>
      <c r="M135" s="178"/>
      <c r="N135" s="178"/>
      <c r="O135" s="178"/>
      <c r="P135" s="178"/>
      <c r="Q135" s="179"/>
    </row>
    <row r="136" spans="1:17" s="50" customFormat="1" ht="25" customHeight="1">
      <c r="A136" s="274" t="s">
        <v>280</v>
      </c>
      <c r="B136" s="281" t="s">
        <v>607</v>
      </c>
      <c r="C136" s="276">
        <v>3</v>
      </c>
      <c r="D136" s="276">
        <v>1</v>
      </c>
      <c r="E136" s="276">
        <v>1</v>
      </c>
      <c r="F136" s="186"/>
      <c r="G136" s="186"/>
      <c r="H136" s="186"/>
      <c r="I136" s="172"/>
      <c r="J136" s="172"/>
      <c r="K136" s="172"/>
      <c r="L136" s="178"/>
      <c r="M136" s="178"/>
      <c r="N136" s="178"/>
      <c r="O136" s="178"/>
      <c r="P136" s="178"/>
      <c r="Q136" s="179"/>
    </row>
    <row r="137" spans="1:17" s="50" customFormat="1" ht="25" customHeight="1">
      <c r="A137" s="274"/>
      <c r="B137" s="281"/>
      <c r="C137" s="276">
        <f>SUM(C130:C136)</f>
        <v>21</v>
      </c>
      <c r="D137" s="276">
        <f>SUM(D130:D136)</f>
        <v>7</v>
      </c>
      <c r="E137" s="276">
        <f>SUM(E130:E136)</f>
        <v>7</v>
      </c>
      <c r="F137" s="180">
        <f t="shared" ref="F137:F145" si="14">I137+J137+K137</f>
        <v>3638.25</v>
      </c>
      <c r="G137" s="200">
        <v>13</v>
      </c>
      <c r="H137" s="268">
        <f>C137*D137*E137*G137</f>
        <v>13377</v>
      </c>
      <c r="I137" s="177">
        <f>IF(G137&lt;70, C137*E137*16.5*1.5, C137*E137*16.5*1.5)</f>
        <v>3638.25</v>
      </c>
      <c r="J137" s="172"/>
      <c r="K137" s="172"/>
      <c r="L137" s="178"/>
      <c r="M137" s="178"/>
      <c r="N137" s="178"/>
      <c r="O137" s="178"/>
      <c r="P137" s="178"/>
      <c r="Q137" s="179"/>
    </row>
    <row r="138" spans="1:17" s="50" customFormat="1" ht="25" customHeight="1">
      <c r="A138" s="282" t="s">
        <v>146</v>
      </c>
      <c r="B138" s="283" t="s">
        <v>465</v>
      </c>
      <c r="C138" s="276"/>
      <c r="D138" s="276"/>
      <c r="E138" s="276"/>
      <c r="F138" s="180">
        <f t="shared" si="14"/>
        <v>0</v>
      </c>
      <c r="G138" s="200">
        <v>13</v>
      </c>
      <c r="H138" s="268">
        <f t="shared" ref="H138:H143" si="15">C138*D138*E138*G138</f>
        <v>0</v>
      </c>
      <c r="I138" s="177">
        <f t="shared" ref="I138:I143" si="16">IF(G138&lt;70, C138*E138*16.5*1.5, C138*E138*16.5*1.5)</f>
        <v>0</v>
      </c>
      <c r="J138" s="172"/>
      <c r="K138" s="172"/>
      <c r="L138" s="178"/>
      <c r="M138" s="178"/>
      <c r="N138" s="178"/>
      <c r="O138" s="178"/>
      <c r="P138" s="178"/>
      <c r="Q138" s="179"/>
    </row>
    <row r="139" spans="1:17" s="50" customFormat="1" ht="25" customHeight="1">
      <c r="A139" s="282"/>
      <c r="B139" s="275" t="s">
        <v>608</v>
      </c>
      <c r="C139" s="276">
        <v>15</v>
      </c>
      <c r="D139" s="276">
        <v>1</v>
      </c>
      <c r="E139" s="276">
        <v>1</v>
      </c>
      <c r="F139" s="180">
        <f t="shared" si="14"/>
        <v>371.25</v>
      </c>
      <c r="G139" s="200">
        <v>13</v>
      </c>
      <c r="H139" s="268">
        <f t="shared" si="15"/>
        <v>195</v>
      </c>
      <c r="I139" s="177">
        <f t="shared" si="16"/>
        <v>371.25</v>
      </c>
      <c r="J139" s="172"/>
      <c r="K139" s="172"/>
      <c r="L139" s="178"/>
      <c r="M139" s="178"/>
      <c r="N139" s="178"/>
      <c r="O139" s="178"/>
      <c r="P139" s="178"/>
      <c r="Q139" s="179"/>
    </row>
    <row r="140" spans="1:17" s="50" customFormat="1" ht="25" customHeight="1">
      <c r="A140" s="274"/>
      <c r="B140" s="284" t="s">
        <v>375</v>
      </c>
      <c r="C140" s="276">
        <f>SUM(C130:C139)</f>
        <v>57</v>
      </c>
      <c r="D140" s="276">
        <f>SUM(D130:D139)</f>
        <v>15</v>
      </c>
      <c r="E140" s="276">
        <f>SUM(E130:E139)</f>
        <v>15</v>
      </c>
      <c r="F140" s="180">
        <f t="shared" si="14"/>
        <v>21161.25</v>
      </c>
      <c r="G140" s="200">
        <v>13</v>
      </c>
      <c r="H140" s="268">
        <f t="shared" si="15"/>
        <v>166725</v>
      </c>
      <c r="I140" s="177">
        <f t="shared" si="16"/>
        <v>21161.25</v>
      </c>
      <c r="J140" s="172"/>
      <c r="K140" s="172"/>
      <c r="L140" s="178"/>
      <c r="M140" s="178"/>
      <c r="N140" s="178"/>
      <c r="O140" s="178"/>
      <c r="P140" s="178"/>
      <c r="Q140" s="179"/>
    </row>
    <row r="141" spans="1:17" s="50" customFormat="1" ht="25" customHeight="1">
      <c r="A141" s="277">
        <v>1</v>
      </c>
      <c r="B141" s="279" t="s">
        <v>223</v>
      </c>
      <c r="C141" s="276"/>
      <c r="D141" s="276"/>
      <c r="E141" s="276"/>
      <c r="F141" s="180">
        <f t="shared" si="14"/>
        <v>0</v>
      </c>
      <c r="G141" s="200">
        <v>13</v>
      </c>
      <c r="H141" s="268">
        <f>C141*D141*E141*G141</f>
        <v>0</v>
      </c>
      <c r="I141" s="177">
        <f t="shared" si="16"/>
        <v>0</v>
      </c>
      <c r="J141" s="172"/>
      <c r="K141" s="172"/>
      <c r="L141" s="178"/>
      <c r="M141" s="178"/>
      <c r="N141" s="178"/>
      <c r="O141" s="178"/>
      <c r="P141" s="178"/>
      <c r="Q141" s="179"/>
    </row>
    <row r="142" spans="1:17" s="50" customFormat="1" ht="25" customHeight="1">
      <c r="A142" s="277" t="s">
        <v>376</v>
      </c>
      <c r="B142" s="279" t="s">
        <v>161</v>
      </c>
      <c r="C142" s="276"/>
      <c r="D142" s="276"/>
      <c r="E142" s="276"/>
      <c r="F142" s="180">
        <f t="shared" si="14"/>
        <v>0</v>
      </c>
      <c r="G142" s="200">
        <v>13</v>
      </c>
      <c r="H142" s="268">
        <f t="shared" si="15"/>
        <v>0</v>
      </c>
      <c r="I142" s="177">
        <f t="shared" si="16"/>
        <v>0</v>
      </c>
      <c r="J142" s="172"/>
      <c r="K142" s="172"/>
      <c r="L142" s="178"/>
      <c r="M142" s="178"/>
      <c r="N142" s="178"/>
      <c r="O142" s="178"/>
      <c r="P142" s="178"/>
      <c r="Q142" s="179"/>
    </row>
    <row r="143" spans="1:17" s="50" customFormat="1" ht="25" customHeight="1">
      <c r="A143" s="274" t="s">
        <v>226</v>
      </c>
      <c r="B143" s="285" t="s">
        <v>609</v>
      </c>
      <c r="C143" s="276">
        <v>3</v>
      </c>
      <c r="D143" s="276">
        <v>1</v>
      </c>
      <c r="E143" s="276">
        <v>7</v>
      </c>
      <c r="F143" s="180">
        <f t="shared" si="14"/>
        <v>519.75</v>
      </c>
      <c r="G143" s="200">
        <v>13</v>
      </c>
      <c r="H143" s="268">
        <f t="shared" si="15"/>
        <v>273</v>
      </c>
      <c r="I143" s="177">
        <f t="shared" si="16"/>
        <v>519.75</v>
      </c>
      <c r="J143" s="172"/>
      <c r="K143" s="172"/>
      <c r="L143" s="178"/>
      <c r="M143" s="178"/>
      <c r="N143" s="178"/>
      <c r="O143" s="178"/>
      <c r="P143" s="178"/>
      <c r="Q143" s="179"/>
    </row>
    <row r="144" spans="1:17" s="50" customFormat="1" ht="25" customHeight="1">
      <c r="A144" s="274" t="s">
        <v>227</v>
      </c>
      <c r="B144" s="285" t="s">
        <v>610</v>
      </c>
      <c r="C144" s="276">
        <v>3</v>
      </c>
      <c r="D144" s="276">
        <v>1</v>
      </c>
      <c r="E144" s="276">
        <v>7</v>
      </c>
      <c r="F144" s="186"/>
      <c r="G144" s="186"/>
      <c r="H144" s="186"/>
      <c r="I144" s="203"/>
      <c r="J144" s="203"/>
      <c r="K144" s="172"/>
      <c r="L144" s="178"/>
      <c r="M144" s="178"/>
      <c r="N144" s="178"/>
      <c r="O144" s="178"/>
      <c r="P144" s="178"/>
      <c r="Q144" s="179"/>
    </row>
    <row r="145" spans="1:17" s="50" customFormat="1" ht="25" customHeight="1">
      <c r="A145" s="274" t="s">
        <v>228</v>
      </c>
      <c r="B145" s="285" t="s">
        <v>611</v>
      </c>
      <c r="C145" s="276">
        <v>2</v>
      </c>
      <c r="D145" s="276">
        <v>1</v>
      </c>
      <c r="E145" s="276">
        <v>10</v>
      </c>
      <c r="F145" s="180">
        <f t="shared" si="14"/>
        <v>14700</v>
      </c>
      <c r="G145" s="186">
        <v>42</v>
      </c>
      <c r="H145" s="268">
        <f>C145*D145*E145*G145</f>
        <v>840</v>
      </c>
      <c r="I145" s="177">
        <f>E145*G145*35</f>
        <v>14700</v>
      </c>
      <c r="J145" s="203"/>
      <c r="K145" s="172"/>
      <c r="L145" s="178"/>
      <c r="M145" s="178"/>
      <c r="N145" s="178"/>
      <c r="O145" s="178"/>
      <c r="P145" s="178"/>
      <c r="Q145" s="179"/>
    </row>
    <row r="146" spans="1:17" s="50" customFormat="1" ht="25" customHeight="1">
      <c r="A146" s="274" t="s">
        <v>229</v>
      </c>
      <c r="B146" s="285" t="s">
        <v>612</v>
      </c>
      <c r="C146" s="276">
        <v>3</v>
      </c>
      <c r="D146" s="276">
        <v>1</v>
      </c>
      <c r="E146" s="276">
        <v>16</v>
      </c>
      <c r="F146" s="186">
        <f>SUM(F137:F145)</f>
        <v>40390.5</v>
      </c>
      <c r="G146" s="204">
        <f>SUM(G137:G145)</f>
        <v>133</v>
      </c>
      <c r="H146" s="204">
        <f>SUM(H137:H145)</f>
        <v>181410</v>
      </c>
      <c r="I146" s="204">
        <f>SUM(I137:I145)</f>
        <v>40390.5</v>
      </c>
      <c r="J146" s="172">
        <v>0</v>
      </c>
      <c r="K146" s="172">
        <v>0</v>
      </c>
      <c r="L146" s="178"/>
      <c r="M146" s="178"/>
      <c r="N146" s="178"/>
      <c r="O146" s="178"/>
      <c r="P146" s="178"/>
      <c r="Q146" s="179"/>
    </row>
    <row r="147" spans="1:17" s="50" customFormat="1" ht="25" customHeight="1">
      <c r="A147" s="274" t="s">
        <v>280</v>
      </c>
      <c r="B147" s="285" t="s">
        <v>613</v>
      </c>
      <c r="C147" s="276">
        <v>2</v>
      </c>
      <c r="D147" s="276">
        <v>1</v>
      </c>
      <c r="E147" s="276">
        <v>10</v>
      </c>
      <c r="F147" s="186"/>
      <c r="G147" s="186"/>
      <c r="H147" s="186"/>
      <c r="I147" s="203"/>
      <c r="J147" s="178"/>
      <c r="K147" s="178"/>
      <c r="L147" s="178"/>
      <c r="M147" s="178"/>
      <c r="N147" s="178"/>
      <c r="O147" s="178"/>
      <c r="P147" s="178"/>
      <c r="Q147" s="179"/>
    </row>
    <row r="148" spans="1:17" s="50" customFormat="1" ht="25" customHeight="1">
      <c r="A148" s="274" t="s">
        <v>282</v>
      </c>
      <c r="B148" s="281" t="s">
        <v>614</v>
      </c>
      <c r="C148" s="276">
        <v>3</v>
      </c>
      <c r="D148" s="276">
        <v>1</v>
      </c>
      <c r="E148" s="276">
        <v>10</v>
      </c>
      <c r="F148" s="186"/>
      <c r="G148" s="186"/>
      <c r="H148" s="186"/>
      <c r="I148" s="203"/>
      <c r="J148" s="178"/>
      <c r="K148" s="178"/>
      <c r="L148" s="178"/>
      <c r="M148" s="178"/>
      <c r="N148" s="178"/>
      <c r="O148" s="178"/>
      <c r="P148" s="178"/>
      <c r="Q148" s="179"/>
    </row>
    <row r="149" spans="1:17" s="50" customFormat="1" ht="25" customHeight="1">
      <c r="A149" s="274" t="s">
        <v>284</v>
      </c>
      <c r="B149" s="275" t="s">
        <v>615</v>
      </c>
      <c r="C149" s="276">
        <v>3</v>
      </c>
      <c r="D149" s="276">
        <v>1</v>
      </c>
      <c r="E149" s="276">
        <v>10</v>
      </c>
      <c r="F149" s="180">
        <f t="shared" ref="F149:F163" si="17">I149+J149+K149</f>
        <v>643.5</v>
      </c>
      <c r="G149" s="200">
        <v>70</v>
      </c>
      <c r="H149" s="268">
        <f t="shared" ref="H149:H163" si="18">C149*D149*E149*G149</f>
        <v>2100</v>
      </c>
      <c r="I149" s="177">
        <f>IF(G149&lt;70, C149*E149*16.5*1, C149*E149*16.5*1.3)</f>
        <v>643.5</v>
      </c>
      <c r="J149" s="178"/>
      <c r="K149" s="178"/>
      <c r="L149" s="178"/>
      <c r="M149" s="178"/>
      <c r="N149" s="178"/>
      <c r="O149" s="178"/>
      <c r="P149" s="178"/>
      <c r="Q149" s="179"/>
    </row>
    <row r="150" spans="1:17" s="50" customFormat="1" ht="25" customHeight="1">
      <c r="A150" s="274" t="s">
        <v>287</v>
      </c>
      <c r="B150" s="275" t="s">
        <v>383</v>
      </c>
      <c r="C150" s="276">
        <v>3</v>
      </c>
      <c r="D150" s="276">
        <v>1</v>
      </c>
      <c r="E150" s="276">
        <v>16</v>
      </c>
      <c r="F150" s="180">
        <f t="shared" si="17"/>
        <v>1029.6000000000001</v>
      </c>
      <c r="G150" s="200">
        <v>70</v>
      </c>
      <c r="H150" s="268">
        <f t="shared" si="18"/>
        <v>3360</v>
      </c>
      <c r="I150" s="177">
        <f t="shared" ref="I150:I163" si="19">IF(G150&lt;70, C150*E150*16.5*1, C150*E150*16.5*1.3)</f>
        <v>1029.6000000000001</v>
      </c>
      <c r="J150" s="178"/>
      <c r="K150" s="178"/>
      <c r="L150" s="178"/>
      <c r="M150" s="178"/>
      <c r="N150" s="178"/>
      <c r="O150" s="178"/>
      <c r="P150" s="178"/>
      <c r="Q150" s="179"/>
    </row>
    <row r="151" spans="1:17" s="50" customFormat="1" ht="25" customHeight="1">
      <c r="A151" s="274" t="s">
        <v>288</v>
      </c>
      <c r="B151" s="275" t="s">
        <v>616</v>
      </c>
      <c r="C151" s="276">
        <v>4</v>
      </c>
      <c r="D151" s="276">
        <v>1</v>
      </c>
      <c r="E151" s="276">
        <v>10</v>
      </c>
      <c r="F151" s="180">
        <f t="shared" si="17"/>
        <v>858</v>
      </c>
      <c r="G151" s="200">
        <v>70</v>
      </c>
      <c r="H151" s="268">
        <f t="shared" si="18"/>
        <v>2800</v>
      </c>
      <c r="I151" s="177">
        <f t="shared" si="19"/>
        <v>858</v>
      </c>
      <c r="J151" s="178"/>
      <c r="K151" s="178"/>
      <c r="L151" s="178"/>
      <c r="M151" s="178"/>
      <c r="N151" s="178"/>
      <c r="O151" s="178"/>
      <c r="P151" s="178"/>
      <c r="Q151" s="179"/>
    </row>
    <row r="152" spans="1:17" s="50" customFormat="1" ht="25" customHeight="1">
      <c r="A152" s="274" t="s">
        <v>289</v>
      </c>
      <c r="B152" s="275" t="s">
        <v>617</v>
      </c>
      <c r="C152" s="276">
        <v>4</v>
      </c>
      <c r="D152" s="276">
        <v>1</v>
      </c>
      <c r="E152" s="276">
        <v>8</v>
      </c>
      <c r="F152" s="180">
        <f t="shared" si="17"/>
        <v>686.4</v>
      </c>
      <c r="G152" s="200">
        <v>70</v>
      </c>
      <c r="H152" s="268">
        <f t="shared" si="18"/>
        <v>2240</v>
      </c>
      <c r="I152" s="177">
        <f t="shared" si="19"/>
        <v>686.4</v>
      </c>
      <c r="J152" s="178"/>
      <c r="K152" s="178"/>
      <c r="L152" s="178"/>
      <c r="M152" s="178"/>
      <c r="N152" s="178"/>
      <c r="O152" s="178"/>
      <c r="P152" s="178"/>
      <c r="Q152" s="179"/>
    </row>
    <row r="153" spans="1:17" s="50" customFormat="1" ht="25" customHeight="1">
      <c r="A153" s="274" t="s">
        <v>290</v>
      </c>
      <c r="B153" s="275" t="s">
        <v>618</v>
      </c>
      <c r="C153" s="276">
        <v>4</v>
      </c>
      <c r="D153" s="276">
        <v>1</v>
      </c>
      <c r="E153" s="276">
        <v>8</v>
      </c>
      <c r="F153" s="180">
        <f t="shared" si="17"/>
        <v>686.4</v>
      </c>
      <c r="G153" s="200">
        <v>70</v>
      </c>
      <c r="H153" s="268">
        <f t="shared" si="18"/>
        <v>2240</v>
      </c>
      <c r="I153" s="177">
        <f t="shared" si="19"/>
        <v>686.4</v>
      </c>
      <c r="J153" s="197"/>
      <c r="K153" s="197"/>
      <c r="L153" s="197"/>
      <c r="M153" s="197"/>
      <c r="N153" s="197"/>
      <c r="O153" s="197"/>
      <c r="P153" s="197"/>
      <c r="Q153" s="180"/>
    </row>
    <row r="154" spans="1:17" s="50" customFormat="1" ht="25" customHeight="1">
      <c r="A154" s="202" t="s">
        <v>229</v>
      </c>
      <c r="B154" s="205" t="s">
        <v>377</v>
      </c>
      <c r="C154" s="200">
        <v>4</v>
      </c>
      <c r="D154" s="200">
        <v>1</v>
      </c>
      <c r="E154" s="200">
        <v>16</v>
      </c>
      <c r="F154" s="180">
        <f t="shared" si="17"/>
        <v>1372.8</v>
      </c>
      <c r="G154" s="200">
        <v>70</v>
      </c>
      <c r="H154" s="268">
        <f t="shared" si="18"/>
        <v>4480</v>
      </c>
      <c r="I154" s="177">
        <f t="shared" si="19"/>
        <v>1372.8</v>
      </c>
      <c r="J154" s="197"/>
      <c r="K154" s="197"/>
      <c r="L154" s="197"/>
      <c r="M154" s="197"/>
      <c r="N154" s="197"/>
      <c r="O154" s="197"/>
      <c r="P154" s="197"/>
      <c r="Q154" s="180"/>
    </row>
    <row r="155" spans="1:17" s="50" customFormat="1" ht="25" customHeight="1">
      <c r="A155" s="202" t="s">
        <v>280</v>
      </c>
      <c r="B155" s="205" t="s">
        <v>378</v>
      </c>
      <c r="C155" s="200">
        <v>2</v>
      </c>
      <c r="D155" s="200">
        <v>1</v>
      </c>
      <c r="E155" s="200">
        <v>16</v>
      </c>
      <c r="F155" s="180">
        <f t="shared" si="17"/>
        <v>686.4</v>
      </c>
      <c r="G155" s="200">
        <v>80</v>
      </c>
      <c r="H155" s="268">
        <f t="shared" si="18"/>
        <v>2560</v>
      </c>
      <c r="I155" s="177">
        <f t="shared" si="19"/>
        <v>686.4</v>
      </c>
      <c r="J155" s="197"/>
      <c r="K155" s="197"/>
      <c r="L155" s="197"/>
      <c r="M155" s="197"/>
      <c r="N155" s="197"/>
      <c r="O155" s="197"/>
      <c r="P155" s="197"/>
      <c r="Q155" s="180"/>
    </row>
    <row r="156" spans="1:17" s="50" customFormat="1" ht="25" customHeight="1">
      <c r="A156" s="202" t="s">
        <v>281</v>
      </c>
      <c r="B156" s="205" t="s">
        <v>379</v>
      </c>
      <c r="C156" s="200">
        <v>4</v>
      </c>
      <c r="D156" s="200">
        <v>1</v>
      </c>
      <c r="E156" s="200">
        <v>16</v>
      </c>
      <c r="F156" s="180">
        <f t="shared" si="17"/>
        <v>1372.8</v>
      </c>
      <c r="G156" s="200">
        <v>70</v>
      </c>
      <c r="H156" s="268">
        <f t="shared" si="18"/>
        <v>4480</v>
      </c>
      <c r="I156" s="177">
        <f t="shared" si="19"/>
        <v>1372.8</v>
      </c>
      <c r="J156" s="197"/>
      <c r="K156" s="197"/>
      <c r="L156" s="197"/>
      <c r="M156" s="197"/>
      <c r="N156" s="197"/>
      <c r="O156" s="197"/>
      <c r="P156" s="197"/>
      <c r="Q156" s="180"/>
    </row>
    <row r="157" spans="1:17" s="50" customFormat="1" ht="25" customHeight="1">
      <c r="A157" s="202" t="s">
        <v>282</v>
      </c>
      <c r="B157" s="201" t="s">
        <v>380</v>
      </c>
      <c r="C157" s="200">
        <v>3</v>
      </c>
      <c r="D157" s="200">
        <v>1</v>
      </c>
      <c r="E157" s="200">
        <v>16</v>
      </c>
      <c r="F157" s="180">
        <f t="shared" si="17"/>
        <v>1029.6000000000001</v>
      </c>
      <c r="G157" s="200">
        <v>70</v>
      </c>
      <c r="H157" s="268">
        <f t="shared" si="18"/>
        <v>3360</v>
      </c>
      <c r="I157" s="177">
        <f t="shared" si="19"/>
        <v>1029.6000000000001</v>
      </c>
      <c r="J157" s="197"/>
      <c r="K157" s="197"/>
      <c r="L157" s="197"/>
      <c r="M157" s="197"/>
      <c r="N157" s="197"/>
      <c r="O157" s="197"/>
      <c r="P157" s="197"/>
      <c r="Q157" s="180"/>
    </row>
    <row r="158" spans="1:17" s="50" customFormat="1" ht="25" customHeight="1">
      <c r="A158" s="202" t="s">
        <v>283</v>
      </c>
      <c r="B158" s="201" t="s">
        <v>381</v>
      </c>
      <c r="C158" s="200">
        <v>3</v>
      </c>
      <c r="D158" s="200">
        <v>1</v>
      </c>
      <c r="E158" s="200">
        <v>16</v>
      </c>
      <c r="F158" s="180">
        <f t="shared" si="17"/>
        <v>1029.6000000000001</v>
      </c>
      <c r="G158" s="200">
        <v>70</v>
      </c>
      <c r="H158" s="268">
        <f t="shared" si="18"/>
        <v>3360</v>
      </c>
      <c r="I158" s="177">
        <f t="shared" si="19"/>
        <v>1029.6000000000001</v>
      </c>
      <c r="J158" s="197"/>
      <c r="K158" s="197"/>
      <c r="L158" s="197"/>
      <c r="M158" s="197"/>
      <c r="N158" s="197"/>
      <c r="O158" s="197"/>
      <c r="P158" s="197"/>
      <c r="Q158" s="180"/>
    </row>
    <row r="159" spans="1:17" s="50" customFormat="1" ht="25" customHeight="1">
      <c r="A159" s="202" t="s">
        <v>284</v>
      </c>
      <c r="B159" s="199" t="s">
        <v>382</v>
      </c>
      <c r="C159" s="200">
        <v>3</v>
      </c>
      <c r="D159" s="200">
        <v>1</v>
      </c>
      <c r="E159" s="200">
        <v>16</v>
      </c>
      <c r="F159" s="180">
        <f t="shared" si="17"/>
        <v>1029.6000000000001</v>
      </c>
      <c r="G159" s="200">
        <v>70</v>
      </c>
      <c r="H159" s="268">
        <f t="shared" si="18"/>
        <v>3360</v>
      </c>
      <c r="I159" s="177">
        <f t="shared" si="19"/>
        <v>1029.6000000000001</v>
      </c>
      <c r="J159" s="197"/>
      <c r="K159" s="197"/>
      <c r="L159" s="197"/>
      <c r="M159" s="197"/>
      <c r="N159" s="197"/>
      <c r="O159" s="197"/>
      <c r="P159" s="197"/>
      <c r="Q159" s="180"/>
    </row>
    <row r="160" spans="1:17" s="50" customFormat="1" ht="25" customHeight="1">
      <c r="A160" s="202" t="s">
        <v>287</v>
      </c>
      <c r="B160" s="199" t="s">
        <v>383</v>
      </c>
      <c r="C160" s="200">
        <v>3</v>
      </c>
      <c r="D160" s="200">
        <v>1</v>
      </c>
      <c r="E160" s="200">
        <v>16</v>
      </c>
      <c r="F160" s="180">
        <f t="shared" si="17"/>
        <v>1029.6000000000001</v>
      </c>
      <c r="G160" s="200">
        <v>70</v>
      </c>
      <c r="H160" s="268">
        <f t="shared" si="18"/>
        <v>3360</v>
      </c>
      <c r="I160" s="177">
        <f t="shared" si="19"/>
        <v>1029.6000000000001</v>
      </c>
      <c r="J160" s="197"/>
      <c r="K160" s="197"/>
      <c r="L160" s="197"/>
      <c r="M160" s="197"/>
      <c r="N160" s="197"/>
      <c r="O160" s="197"/>
      <c r="P160" s="197"/>
      <c r="Q160" s="180"/>
    </row>
    <row r="161" spans="1:17" s="50" customFormat="1" ht="25" customHeight="1">
      <c r="A161" s="202" t="s">
        <v>288</v>
      </c>
      <c r="B161" s="199" t="s">
        <v>384</v>
      </c>
      <c r="C161" s="200">
        <v>4</v>
      </c>
      <c r="D161" s="200">
        <v>1</v>
      </c>
      <c r="E161" s="200">
        <v>10</v>
      </c>
      <c r="F161" s="180">
        <f t="shared" si="17"/>
        <v>858</v>
      </c>
      <c r="G161" s="200">
        <v>70</v>
      </c>
      <c r="H161" s="268">
        <f t="shared" si="18"/>
        <v>2800</v>
      </c>
      <c r="I161" s="177">
        <f t="shared" si="19"/>
        <v>858</v>
      </c>
      <c r="J161" s="197"/>
      <c r="K161" s="197"/>
      <c r="L161" s="197"/>
      <c r="M161" s="197"/>
      <c r="N161" s="197"/>
      <c r="O161" s="197"/>
      <c r="P161" s="197"/>
      <c r="Q161" s="180"/>
    </row>
    <row r="162" spans="1:17" s="50" customFormat="1" ht="25" customHeight="1">
      <c r="A162" s="202" t="s">
        <v>289</v>
      </c>
      <c r="B162" s="199" t="s">
        <v>385</v>
      </c>
      <c r="C162" s="200">
        <v>4</v>
      </c>
      <c r="D162" s="200">
        <v>1</v>
      </c>
      <c r="E162" s="200">
        <v>13</v>
      </c>
      <c r="F162" s="180">
        <f t="shared" si="17"/>
        <v>1115.4000000000001</v>
      </c>
      <c r="G162" s="200">
        <v>70</v>
      </c>
      <c r="H162" s="268">
        <f t="shared" si="18"/>
        <v>3640</v>
      </c>
      <c r="I162" s="177">
        <f t="shared" si="19"/>
        <v>1115.4000000000001</v>
      </c>
      <c r="J162" s="197"/>
      <c r="K162" s="197"/>
      <c r="L162" s="197"/>
      <c r="M162" s="197"/>
      <c r="N162" s="197"/>
      <c r="O162" s="197"/>
      <c r="P162" s="197"/>
      <c r="Q162" s="180"/>
    </row>
    <row r="163" spans="1:17" s="50" customFormat="1" ht="25" customHeight="1">
      <c r="A163" s="202" t="s">
        <v>290</v>
      </c>
      <c r="B163" s="199" t="s">
        <v>386</v>
      </c>
      <c r="C163" s="200">
        <v>4</v>
      </c>
      <c r="D163" s="200">
        <v>1</v>
      </c>
      <c r="E163" s="200">
        <v>16</v>
      </c>
      <c r="F163" s="180">
        <f t="shared" si="17"/>
        <v>1372.8</v>
      </c>
      <c r="G163" s="200">
        <v>70</v>
      </c>
      <c r="H163" s="268">
        <f t="shared" si="18"/>
        <v>4480</v>
      </c>
      <c r="I163" s="177">
        <f t="shared" si="19"/>
        <v>1372.8</v>
      </c>
      <c r="J163" s="197"/>
      <c r="K163" s="197"/>
      <c r="L163" s="197"/>
      <c r="M163" s="197"/>
      <c r="N163" s="197"/>
      <c r="O163" s="197"/>
      <c r="P163" s="197"/>
      <c r="Q163" s="180"/>
    </row>
    <row r="164" spans="1:17" s="50" customFormat="1" ht="25" customHeight="1">
      <c r="A164" s="202"/>
      <c r="B164" s="206" t="s">
        <v>387</v>
      </c>
      <c r="C164" s="207">
        <f>SUM(C149:C163)</f>
        <v>52</v>
      </c>
      <c r="D164" s="207">
        <f t="shared" ref="D164:K164" si="20">SUM(D149:D163)</f>
        <v>15</v>
      </c>
      <c r="E164" s="207">
        <f t="shared" si="20"/>
        <v>203</v>
      </c>
      <c r="F164" s="200">
        <f t="shared" si="20"/>
        <v>14800.5</v>
      </c>
      <c r="G164" s="207">
        <f t="shared" si="20"/>
        <v>1060</v>
      </c>
      <c r="H164" s="207">
        <f t="shared" si="20"/>
        <v>48620</v>
      </c>
      <c r="I164" s="207">
        <f t="shared" si="20"/>
        <v>14800.5</v>
      </c>
      <c r="J164" s="207">
        <f t="shared" si="20"/>
        <v>0</v>
      </c>
      <c r="K164" s="207">
        <f t="shared" si="20"/>
        <v>0</v>
      </c>
      <c r="L164" s="197"/>
      <c r="M164" s="197"/>
      <c r="N164" s="197"/>
      <c r="O164" s="197"/>
      <c r="P164" s="197"/>
      <c r="Q164" s="180"/>
    </row>
    <row r="165" spans="1:17" s="50" customFormat="1" ht="25" customHeight="1">
      <c r="A165" s="208"/>
      <c r="B165" s="209" t="s">
        <v>388</v>
      </c>
      <c r="C165" s="210">
        <f t="shared" ref="C165:K165" si="21">C126+C164+C146</f>
        <v>55</v>
      </c>
      <c r="D165" s="210">
        <f t="shared" si="21"/>
        <v>16</v>
      </c>
      <c r="E165" s="210">
        <f t="shared" si="21"/>
        <v>219</v>
      </c>
      <c r="F165" s="246">
        <f t="shared" si="21"/>
        <v>59096.850000000006</v>
      </c>
      <c r="G165" s="210">
        <f t="shared" si="21"/>
        <v>2512</v>
      </c>
      <c r="H165" s="210">
        <f t="shared" si="21"/>
        <v>242109.56</v>
      </c>
      <c r="I165" s="210">
        <f t="shared" si="21"/>
        <v>58898.850000000006</v>
      </c>
      <c r="J165" s="210">
        <f t="shared" si="21"/>
        <v>198</v>
      </c>
      <c r="K165" s="210">
        <f t="shared" si="21"/>
        <v>0</v>
      </c>
      <c r="L165" s="191">
        <f>'Bieu3 GDMN'!F25</f>
        <v>2700</v>
      </c>
      <c r="M165" s="191">
        <f>'Bieu3 GDMN'!N25</f>
        <v>2376</v>
      </c>
      <c r="N165" s="190">
        <f>I165-M165</f>
        <v>56522.850000000006</v>
      </c>
      <c r="O165" s="191">
        <f>'Bieu3 GDMN'!O25</f>
        <v>1709.75</v>
      </c>
      <c r="P165" s="191">
        <f>'Bieu3 GDMN'!P25</f>
        <v>960</v>
      </c>
      <c r="Q165" s="192"/>
    </row>
    <row r="166" spans="1:17" s="50" customFormat="1" ht="25" customHeight="1">
      <c r="A166" s="211"/>
      <c r="B166" s="212"/>
      <c r="C166" s="213"/>
      <c r="D166" s="213"/>
      <c r="E166" s="213"/>
      <c r="F166" s="213"/>
      <c r="G166" s="213"/>
      <c r="H166" s="213"/>
      <c r="I166" s="214"/>
      <c r="J166" s="178"/>
      <c r="K166" s="178"/>
      <c r="L166" s="178"/>
      <c r="M166" s="178"/>
      <c r="N166" s="178"/>
      <c r="O166" s="178"/>
      <c r="P166" s="178"/>
      <c r="Q166" s="179"/>
    </row>
    <row r="167" spans="1:17" s="50" customFormat="1" ht="25" customHeight="1">
      <c r="A167" s="215" t="s">
        <v>417</v>
      </c>
      <c r="B167" s="215" t="s">
        <v>418</v>
      </c>
      <c r="C167" s="216"/>
      <c r="D167" s="216"/>
      <c r="E167" s="216"/>
      <c r="F167" s="247"/>
      <c r="G167" s="216"/>
      <c r="H167" s="213"/>
      <c r="I167" s="214"/>
      <c r="J167" s="178"/>
      <c r="K167" s="178"/>
      <c r="L167" s="178"/>
      <c r="M167" s="178"/>
      <c r="N167" s="178"/>
      <c r="O167" s="178"/>
      <c r="P167" s="178"/>
      <c r="Q167" s="179"/>
    </row>
    <row r="168" spans="1:17" s="50" customFormat="1" ht="25" customHeight="1">
      <c r="A168" s="217" t="s">
        <v>6</v>
      </c>
      <c r="B168" s="217" t="s">
        <v>221</v>
      </c>
      <c r="C168" s="216"/>
      <c r="D168" s="216"/>
      <c r="E168" s="216"/>
      <c r="F168" s="247"/>
      <c r="G168" s="216"/>
      <c r="H168" s="213"/>
      <c r="I168" s="214"/>
      <c r="J168" s="178"/>
      <c r="K168" s="178"/>
      <c r="L168" s="178"/>
      <c r="M168" s="178"/>
      <c r="N168" s="178"/>
      <c r="O168" s="178"/>
      <c r="P168" s="178"/>
      <c r="Q168" s="179"/>
    </row>
    <row r="169" spans="1:17" s="50" customFormat="1" ht="25" customHeight="1">
      <c r="A169" s="217">
        <v>1</v>
      </c>
      <c r="B169" s="217" t="s">
        <v>4</v>
      </c>
      <c r="C169" s="216"/>
      <c r="D169" s="216"/>
      <c r="E169" s="216"/>
      <c r="F169" s="247"/>
      <c r="G169" s="216"/>
      <c r="H169" s="213"/>
      <c r="I169" s="214"/>
      <c r="J169" s="178"/>
      <c r="K169" s="178"/>
      <c r="L169" s="178"/>
      <c r="M169" s="178"/>
      <c r="N169" s="178"/>
      <c r="O169" s="178"/>
      <c r="P169" s="178"/>
      <c r="Q169" s="179"/>
    </row>
    <row r="170" spans="1:17" s="50" customFormat="1" ht="25" customHeight="1">
      <c r="A170" s="218" t="s">
        <v>145</v>
      </c>
      <c r="B170" s="219" t="s">
        <v>159</v>
      </c>
      <c r="C170" s="220"/>
      <c r="D170" s="220"/>
      <c r="E170" s="220"/>
      <c r="F170" s="224"/>
      <c r="G170" s="220"/>
      <c r="H170" s="213"/>
      <c r="I170" s="214"/>
      <c r="J170" s="178"/>
      <c r="K170" s="178"/>
      <c r="L170" s="178"/>
      <c r="M170" s="178"/>
      <c r="N170" s="178"/>
      <c r="O170" s="178"/>
      <c r="P170" s="178"/>
      <c r="Q170" s="179"/>
    </row>
    <row r="171" spans="1:17" s="50" customFormat="1" ht="25" customHeight="1">
      <c r="A171" s="269" t="s">
        <v>224</v>
      </c>
      <c r="B171" s="270" t="s">
        <v>664</v>
      </c>
      <c r="C171" s="355">
        <v>4</v>
      </c>
      <c r="D171" s="297">
        <v>1</v>
      </c>
      <c r="E171" s="355">
        <v>13</v>
      </c>
      <c r="F171" s="180">
        <f t="shared" ref="F171:F184" si="22">I171+J171+K171</f>
        <v>858</v>
      </c>
      <c r="G171" s="221">
        <v>50</v>
      </c>
      <c r="H171" s="268">
        <f>C171*D171*E171*G171</f>
        <v>2600</v>
      </c>
      <c r="I171" s="177">
        <f>IF(G171&lt;70, C171*E171*16.5*1, C171*E171*16.5*1.3)</f>
        <v>858</v>
      </c>
      <c r="J171" s="178"/>
      <c r="K171" s="178"/>
      <c r="L171" s="178"/>
      <c r="M171" s="178"/>
      <c r="N171" s="178"/>
      <c r="O171" s="178"/>
      <c r="P171" s="178"/>
      <c r="Q171" s="179"/>
    </row>
    <row r="172" spans="1:17" s="50" customFormat="1" ht="25" customHeight="1">
      <c r="A172" s="269" t="s">
        <v>225</v>
      </c>
      <c r="B172" s="270" t="s">
        <v>665</v>
      </c>
      <c r="C172" s="296">
        <v>3</v>
      </c>
      <c r="D172" s="356">
        <v>1</v>
      </c>
      <c r="E172" s="296">
        <v>7</v>
      </c>
      <c r="F172" s="180">
        <f t="shared" si="22"/>
        <v>450.45</v>
      </c>
      <c r="G172" s="222">
        <v>70</v>
      </c>
      <c r="H172" s="268">
        <f t="shared" ref="H172:H184" si="23">C172*D172*E172*G172</f>
        <v>1470</v>
      </c>
      <c r="I172" s="177">
        <f t="shared" ref="I172:I182" si="24">IF(G172&lt;70, C172*E172*16.5*1, C172*E172*16.5*1.3)</f>
        <v>450.45</v>
      </c>
      <c r="J172" s="178"/>
      <c r="K172" s="178"/>
      <c r="L172" s="178"/>
      <c r="M172" s="178"/>
      <c r="N172" s="178"/>
      <c r="O172" s="178"/>
      <c r="P172" s="178"/>
      <c r="Q172" s="179"/>
    </row>
    <row r="173" spans="1:17" s="50" customFormat="1" ht="25" customHeight="1">
      <c r="A173" s="269" t="s">
        <v>227</v>
      </c>
      <c r="B173" s="270" t="s">
        <v>666</v>
      </c>
      <c r="C173" s="296">
        <v>5</v>
      </c>
      <c r="D173" s="356">
        <v>1</v>
      </c>
      <c r="E173" s="296">
        <v>6</v>
      </c>
      <c r="F173" s="180">
        <f t="shared" si="22"/>
        <v>643.5</v>
      </c>
      <c r="G173" s="222">
        <v>70</v>
      </c>
      <c r="H173" s="268">
        <f t="shared" si="23"/>
        <v>2100</v>
      </c>
      <c r="I173" s="177">
        <f t="shared" si="24"/>
        <v>643.5</v>
      </c>
      <c r="J173" s="178"/>
      <c r="K173" s="178"/>
      <c r="L173" s="178"/>
      <c r="M173" s="178"/>
      <c r="N173" s="178"/>
      <c r="O173" s="178"/>
      <c r="P173" s="178"/>
      <c r="Q173" s="179"/>
    </row>
    <row r="174" spans="1:17" s="50" customFormat="1" ht="25" customHeight="1">
      <c r="A174" s="269" t="s">
        <v>228</v>
      </c>
      <c r="B174" s="270" t="s">
        <v>667</v>
      </c>
      <c r="C174" s="296">
        <v>2</v>
      </c>
      <c r="D174" s="356">
        <v>1</v>
      </c>
      <c r="E174" s="296">
        <v>1</v>
      </c>
      <c r="F174" s="180">
        <f t="shared" si="22"/>
        <v>33</v>
      </c>
      <c r="G174" s="222">
        <v>50</v>
      </c>
      <c r="H174" s="268">
        <f t="shared" si="23"/>
        <v>100</v>
      </c>
      <c r="I174" s="177">
        <f t="shared" si="24"/>
        <v>33</v>
      </c>
      <c r="J174" s="178"/>
      <c r="K174" s="178"/>
      <c r="L174" s="178"/>
      <c r="M174" s="178"/>
      <c r="N174" s="178"/>
      <c r="O174" s="178"/>
      <c r="P174" s="178"/>
      <c r="Q174" s="179"/>
    </row>
    <row r="175" spans="1:17" s="50" customFormat="1" ht="25" customHeight="1">
      <c r="A175" s="269" t="s">
        <v>229</v>
      </c>
      <c r="B175" s="270" t="s">
        <v>406</v>
      </c>
      <c r="C175" s="296">
        <v>2</v>
      </c>
      <c r="D175" s="356">
        <v>1</v>
      </c>
      <c r="E175" s="296">
        <v>1</v>
      </c>
      <c r="F175" s="180">
        <f t="shared" si="22"/>
        <v>33</v>
      </c>
      <c r="G175" s="222">
        <v>55</v>
      </c>
      <c r="H175" s="268">
        <f t="shared" si="23"/>
        <v>110</v>
      </c>
      <c r="I175" s="177">
        <f t="shared" si="24"/>
        <v>33</v>
      </c>
      <c r="J175" s="178"/>
      <c r="K175" s="178"/>
      <c r="L175" s="178"/>
      <c r="M175" s="178"/>
      <c r="N175" s="178"/>
      <c r="O175" s="178"/>
      <c r="P175" s="178"/>
      <c r="Q175" s="179"/>
    </row>
    <row r="176" spans="1:17" s="50" customFormat="1" ht="25" customHeight="1">
      <c r="A176" s="269" t="s">
        <v>283</v>
      </c>
      <c r="B176" s="270" t="s">
        <v>668</v>
      </c>
      <c r="C176" s="357">
        <v>3</v>
      </c>
      <c r="D176" s="356">
        <v>1</v>
      </c>
      <c r="E176" s="357">
        <v>1</v>
      </c>
      <c r="F176" s="180">
        <f t="shared" si="22"/>
        <v>49.5</v>
      </c>
      <c r="G176" s="222">
        <v>30</v>
      </c>
      <c r="H176" s="268">
        <f t="shared" si="23"/>
        <v>90</v>
      </c>
      <c r="I176" s="177">
        <f t="shared" si="24"/>
        <v>49.5</v>
      </c>
      <c r="J176" s="178"/>
      <c r="K176" s="178"/>
      <c r="L176" s="178"/>
      <c r="M176" s="178"/>
      <c r="N176" s="178"/>
      <c r="O176" s="178"/>
      <c r="P176" s="178"/>
      <c r="Q176" s="179"/>
    </row>
    <row r="177" spans="1:17" s="50" customFormat="1" ht="25" customHeight="1">
      <c r="A177" s="269" t="s">
        <v>284</v>
      </c>
      <c r="B177" s="270" t="s">
        <v>407</v>
      </c>
      <c r="C177" s="357">
        <v>2</v>
      </c>
      <c r="D177" s="356">
        <v>1</v>
      </c>
      <c r="E177" s="357">
        <v>1</v>
      </c>
      <c r="F177" s="180">
        <f t="shared" si="22"/>
        <v>33</v>
      </c>
      <c r="G177" s="222">
        <v>30</v>
      </c>
      <c r="H177" s="268">
        <f t="shared" si="23"/>
        <v>60</v>
      </c>
      <c r="I177" s="177">
        <f t="shared" si="24"/>
        <v>33</v>
      </c>
      <c r="J177" s="178"/>
      <c r="K177" s="178"/>
      <c r="L177" s="178"/>
      <c r="M177" s="178"/>
      <c r="N177" s="178"/>
      <c r="O177" s="178"/>
      <c r="P177" s="178"/>
      <c r="Q177" s="179"/>
    </row>
    <row r="178" spans="1:17" s="50" customFormat="1" ht="25" customHeight="1">
      <c r="A178" s="269" t="s">
        <v>287</v>
      </c>
      <c r="B178" s="270" t="s">
        <v>669</v>
      </c>
      <c r="C178" s="357">
        <v>2</v>
      </c>
      <c r="D178" s="356">
        <v>1</v>
      </c>
      <c r="E178" s="357">
        <v>1</v>
      </c>
      <c r="F178" s="180">
        <f t="shared" si="22"/>
        <v>33</v>
      </c>
      <c r="G178" s="222">
        <v>40</v>
      </c>
      <c r="H178" s="268">
        <f t="shared" si="23"/>
        <v>80</v>
      </c>
      <c r="I178" s="177">
        <f t="shared" si="24"/>
        <v>33</v>
      </c>
      <c r="J178" s="178"/>
      <c r="K178" s="178"/>
      <c r="L178" s="178"/>
      <c r="M178" s="178"/>
      <c r="N178" s="178"/>
      <c r="O178" s="178"/>
      <c r="P178" s="178"/>
      <c r="Q178" s="179"/>
    </row>
    <row r="179" spans="1:17" s="50" customFormat="1" ht="25" customHeight="1">
      <c r="A179" s="269" t="s">
        <v>288</v>
      </c>
      <c r="B179" s="270" t="s">
        <v>670</v>
      </c>
      <c r="C179" s="357">
        <v>2</v>
      </c>
      <c r="D179" s="356">
        <v>1</v>
      </c>
      <c r="E179" s="357">
        <v>1</v>
      </c>
      <c r="F179" s="180">
        <f t="shared" si="22"/>
        <v>33</v>
      </c>
      <c r="G179" s="223">
        <v>40</v>
      </c>
      <c r="H179" s="268">
        <f t="shared" si="23"/>
        <v>80</v>
      </c>
      <c r="I179" s="177">
        <f t="shared" si="24"/>
        <v>33</v>
      </c>
      <c r="J179" s="178"/>
      <c r="K179" s="178"/>
      <c r="L179" s="178"/>
      <c r="M179" s="178"/>
      <c r="N179" s="178"/>
      <c r="O179" s="178"/>
      <c r="P179" s="178"/>
      <c r="Q179" s="179"/>
    </row>
    <row r="180" spans="1:17" s="50" customFormat="1" ht="25" customHeight="1">
      <c r="A180" s="269" t="s">
        <v>289</v>
      </c>
      <c r="B180" s="270" t="s">
        <v>408</v>
      </c>
      <c r="C180" s="357">
        <v>1</v>
      </c>
      <c r="D180" s="272">
        <v>1.4</v>
      </c>
      <c r="E180" s="357">
        <v>6</v>
      </c>
      <c r="F180" s="180">
        <f t="shared" si="22"/>
        <v>99</v>
      </c>
      <c r="G180" s="223">
        <v>40</v>
      </c>
      <c r="H180" s="268">
        <f t="shared" si="23"/>
        <v>335.99999999999994</v>
      </c>
      <c r="I180" s="177">
        <f t="shared" si="24"/>
        <v>99</v>
      </c>
      <c r="J180" s="178"/>
      <c r="K180" s="178"/>
      <c r="L180" s="178"/>
      <c r="M180" s="178"/>
      <c r="N180" s="178"/>
      <c r="O180" s="178"/>
      <c r="P180" s="178"/>
      <c r="Q180" s="179"/>
    </row>
    <row r="181" spans="1:17" s="50" customFormat="1" ht="25" customHeight="1">
      <c r="A181" s="269" t="s">
        <v>290</v>
      </c>
      <c r="B181" s="296" t="s">
        <v>409</v>
      </c>
      <c r="C181" s="357">
        <v>1</v>
      </c>
      <c r="D181" s="272">
        <v>1.4</v>
      </c>
      <c r="E181" s="357">
        <v>14</v>
      </c>
      <c r="F181" s="180">
        <f t="shared" si="22"/>
        <v>300.3</v>
      </c>
      <c r="G181" s="223">
        <v>80</v>
      </c>
      <c r="H181" s="268">
        <f t="shared" si="23"/>
        <v>1567.9999999999998</v>
      </c>
      <c r="I181" s="177">
        <f t="shared" si="24"/>
        <v>300.3</v>
      </c>
      <c r="J181" s="178"/>
      <c r="K181" s="178"/>
      <c r="L181" s="178"/>
      <c r="M181" s="178"/>
      <c r="N181" s="178"/>
      <c r="O181" s="178"/>
      <c r="P181" s="178"/>
      <c r="Q181" s="179"/>
    </row>
    <row r="182" spans="1:17" s="50" customFormat="1" ht="25" customHeight="1">
      <c r="A182" s="274"/>
      <c r="B182" s="284" t="s">
        <v>375</v>
      </c>
      <c r="C182" s="287">
        <f>SUM(C171:C181)</f>
        <v>27</v>
      </c>
      <c r="D182" s="287">
        <f>SUM(D171:D181)</f>
        <v>11.8</v>
      </c>
      <c r="E182" s="287">
        <f>SUM(E171:E181)</f>
        <v>52</v>
      </c>
      <c r="F182" s="180">
        <f t="shared" si="22"/>
        <v>30115.8</v>
      </c>
      <c r="G182" s="223">
        <v>80</v>
      </c>
      <c r="H182" s="268">
        <f t="shared" si="23"/>
        <v>1325376</v>
      </c>
      <c r="I182" s="177">
        <f t="shared" si="24"/>
        <v>30115.8</v>
      </c>
      <c r="J182" s="178"/>
      <c r="K182" s="178"/>
      <c r="L182" s="178"/>
      <c r="M182" s="178"/>
      <c r="N182" s="178"/>
      <c r="O182" s="178"/>
      <c r="P182" s="178"/>
      <c r="Q182" s="179"/>
    </row>
    <row r="183" spans="1:17" s="50" customFormat="1" ht="25" customHeight="1">
      <c r="A183" s="358">
        <v>2</v>
      </c>
      <c r="B183" s="358" t="s">
        <v>162</v>
      </c>
      <c r="C183" s="272"/>
      <c r="D183" s="272"/>
      <c r="E183" s="272"/>
      <c r="F183" s="180">
        <f t="shared" si="22"/>
        <v>0</v>
      </c>
      <c r="G183" s="223">
        <v>36</v>
      </c>
      <c r="H183" s="268">
        <f t="shared" si="23"/>
        <v>0</v>
      </c>
      <c r="I183" s="177">
        <f>E183*15</f>
        <v>0</v>
      </c>
      <c r="J183" s="178"/>
      <c r="K183" s="178"/>
      <c r="L183" s="178"/>
      <c r="M183" s="178"/>
      <c r="N183" s="178"/>
      <c r="O183" s="178"/>
      <c r="P183" s="178"/>
      <c r="Q183" s="179"/>
    </row>
    <row r="184" spans="1:17" s="50" customFormat="1" ht="25" customHeight="1">
      <c r="A184" s="317" t="s">
        <v>145</v>
      </c>
      <c r="B184" s="318" t="s">
        <v>163</v>
      </c>
      <c r="C184" s="272"/>
      <c r="D184" s="272"/>
      <c r="E184" s="272"/>
      <c r="F184" s="180">
        <f t="shared" si="22"/>
        <v>0</v>
      </c>
      <c r="G184" s="223">
        <v>20</v>
      </c>
      <c r="H184" s="268">
        <f t="shared" si="23"/>
        <v>0</v>
      </c>
      <c r="I184" s="177">
        <f>E184*15</f>
        <v>0</v>
      </c>
      <c r="J184" s="178"/>
      <c r="K184" s="178"/>
      <c r="L184" s="178"/>
      <c r="M184" s="178"/>
      <c r="N184" s="178"/>
      <c r="O184" s="178"/>
      <c r="P184" s="178"/>
      <c r="Q184" s="179"/>
    </row>
    <row r="185" spans="1:17" s="50" customFormat="1" ht="25" customHeight="1">
      <c r="A185" s="269" t="s">
        <v>224</v>
      </c>
      <c r="B185" s="270" t="s">
        <v>410</v>
      </c>
      <c r="C185" s="296">
        <v>3</v>
      </c>
      <c r="D185" s="356">
        <v>1</v>
      </c>
      <c r="E185" s="357">
        <v>3</v>
      </c>
      <c r="F185" s="200">
        <f>SUM(F171:F184)</f>
        <v>32681.55</v>
      </c>
      <c r="G185" s="207">
        <f>SUM(G171:G184)</f>
        <v>691</v>
      </c>
      <c r="H185" s="207">
        <f>SUM(H171:H184)</f>
        <v>1333970</v>
      </c>
      <c r="I185" s="207">
        <f>SUM(I171:I184)</f>
        <v>32681.55</v>
      </c>
      <c r="J185" s="178"/>
      <c r="K185" s="178"/>
      <c r="L185" s="178"/>
      <c r="M185" s="178"/>
      <c r="N185" s="178"/>
      <c r="O185" s="178"/>
      <c r="P185" s="178"/>
      <c r="Q185" s="179"/>
    </row>
    <row r="186" spans="1:17" s="50" customFormat="1" ht="25" customHeight="1">
      <c r="A186" s="269" t="s">
        <v>225</v>
      </c>
      <c r="B186" s="270" t="s">
        <v>411</v>
      </c>
      <c r="C186" s="296">
        <v>3</v>
      </c>
      <c r="D186" s="356">
        <v>1</v>
      </c>
      <c r="E186" s="357">
        <v>1</v>
      </c>
      <c r="F186" s="224"/>
      <c r="G186" s="224"/>
      <c r="H186" s="213"/>
      <c r="I186" s="214"/>
      <c r="J186" s="178"/>
      <c r="K186" s="178"/>
      <c r="L186" s="178"/>
      <c r="M186" s="178"/>
      <c r="N186" s="178"/>
      <c r="O186" s="178"/>
      <c r="P186" s="178"/>
      <c r="Q186" s="179"/>
    </row>
    <row r="187" spans="1:17" s="50" customFormat="1" ht="25" customHeight="1">
      <c r="A187" s="269" t="s">
        <v>226</v>
      </c>
      <c r="B187" s="285" t="s">
        <v>412</v>
      </c>
      <c r="C187" s="296">
        <v>3</v>
      </c>
      <c r="D187" s="356">
        <v>1</v>
      </c>
      <c r="E187" s="357">
        <v>1</v>
      </c>
      <c r="F187" s="224"/>
      <c r="G187" s="224"/>
      <c r="H187" s="213"/>
      <c r="I187" s="214"/>
      <c r="J187" s="178"/>
      <c r="K187" s="178"/>
      <c r="L187" s="178"/>
      <c r="M187" s="178"/>
      <c r="N187" s="178"/>
      <c r="O187" s="178"/>
      <c r="P187" s="178"/>
      <c r="Q187" s="179"/>
    </row>
    <row r="188" spans="1:17" s="50" customFormat="1" ht="25" customHeight="1">
      <c r="A188" s="269" t="s">
        <v>227</v>
      </c>
      <c r="B188" s="270" t="s">
        <v>413</v>
      </c>
      <c r="C188" s="296">
        <v>3</v>
      </c>
      <c r="D188" s="356">
        <v>1</v>
      </c>
      <c r="E188" s="357">
        <v>1</v>
      </c>
      <c r="F188" s="180">
        <f t="shared" ref="F188:F194" si="25">I188+J188+K188</f>
        <v>74.25</v>
      </c>
      <c r="G188" s="222">
        <v>15</v>
      </c>
      <c r="H188" s="268">
        <f>C188*D188*E188*G188</f>
        <v>45</v>
      </c>
      <c r="I188" s="177">
        <f t="shared" ref="I188:I194" si="26">IF(G188&lt;70, C188*E188*16.5*1*1.5, C188*E188*16.5*1.3*1.5)</f>
        <v>74.25</v>
      </c>
      <c r="J188" s="178"/>
      <c r="K188" s="178"/>
      <c r="L188" s="178"/>
      <c r="M188" s="178"/>
      <c r="N188" s="178"/>
      <c r="O188" s="178"/>
      <c r="P188" s="178"/>
      <c r="Q188" s="179"/>
    </row>
    <row r="189" spans="1:17" s="50" customFormat="1" ht="25" customHeight="1">
      <c r="A189" s="269" t="s">
        <v>228</v>
      </c>
      <c r="B189" s="273" t="s">
        <v>414</v>
      </c>
      <c r="C189" s="296">
        <v>3</v>
      </c>
      <c r="D189" s="356">
        <v>1</v>
      </c>
      <c r="E189" s="357">
        <v>3</v>
      </c>
      <c r="F189" s="180">
        <f t="shared" si="25"/>
        <v>222.75</v>
      </c>
      <c r="G189" s="222">
        <v>10</v>
      </c>
      <c r="H189" s="268">
        <f t="shared" ref="H189:H194" si="27">C189*D189*E189*G189</f>
        <v>90</v>
      </c>
      <c r="I189" s="177">
        <f t="shared" si="26"/>
        <v>222.75</v>
      </c>
      <c r="J189" s="178"/>
      <c r="K189" s="178"/>
      <c r="L189" s="178"/>
      <c r="M189" s="178"/>
      <c r="N189" s="178"/>
      <c r="O189" s="178"/>
      <c r="P189" s="178"/>
      <c r="Q189" s="179"/>
    </row>
    <row r="190" spans="1:17" s="50" customFormat="1" ht="25" customHeight="1">
      <c r="A190" s="269" t="s">
        <v>229</v>
      </c>
      <c r="B190" s="273" t="s">
        <v>415</v>
      </c>
      <c r="C190" s="296">
        <v>3</v>
      </c>
      <c r="D190" s="356">
        <v>1</v>
      </c>
      <c r="E190" s="357">
        <v>1</v>
      </c>
      <c r="F190" s="180">
        <f t="shared" si="25"/>
        <v>74.25</v>
      </c>
      <c r="G190" s="222">
        <v>10</v>
      </c>
      <c r="H190" s="268">
        <f t="shared" si="27"/>
        <v>30</v>
      </c>
      <c r="I190" s="177">
        <f t="shared" si="26"/>
        <v>74.25</v>
      </c>
      <c r="J190" s="178"/>
      <c r="K190" s="178"/>
      <c r="L190" s="178"/>
      <c r="M190" s="178"/>
      <c r="N190" s="178"/>
      <c r="O190" s="178"/>
      <c r="P190" s="178"/>
      <c r="Q190" s="179"/>
    </row>
    <row r="191" spans="1:17" s="50" customFormat="1" ht="25" customHeight="1">
      <c r="A191" s="269" t="s">
        <v>280</v>
      </c>
      <c r="B191" s="273" t="s">
        <v>416</v>
      </c>
      <c r="C191" s="296">
        <v>3</v>
      </c>
      <c r="D191" s="356">
        <v>1</v>
      </c>
      <c r="E191" s="357">
        <v>3</v>
      </c>
      <c r="F191" s="180">
        <f t="shared" si="25"/>
        <v>222.75</v>
      </c>
      <c r="G191" s="222">
        <v>10</v>
      </c>
      <c r="H191" s="268">
        <f t="shared" si="27"/>
        <v>90</v>
      </c>
      <c r="I191" s="177">
        <f t="shared" si="26"/>
        <v>222.75</v>
      </c>
      <c r="J191" s="178"/>
      <c r="K191" s="178"/>
      <c r="L191" s="178"/>
      <c r="M191" s="178"/>
      <c r="N191" s="178"/>
      <c r="O191" s="178"/>
      <c r="P191" s="178"/>
      <c r="Q191" s="179"/>
    </row>
    <row r="192" spans="1:17" s="50" customFormat="1" ht="25" customHeight="1">
      <c r="A192" s="274"/>
      <c r="B192" s="359" t="s">
        <v>375</v>
      </c>
      <c r="C192" s="287">
        <f>SUM(C185:C191)</f>
        <v>21</v>
      </c>
      <c r="D192" s="287">
        <f>SUM(D185:D191)</f>
        <v>7</v>
      </c>
      <c r="E192" s="287">
        <f>SUM(E185:E191)</f>
        <v>13</v>
      </c>
      <c r="F192" s="180">
        <f t="shared" si="25"/>
        <v>6756.75</v>
      </c>
      <c r="G192" s="222">
        <v>15</v>
      </c>
      <c r="H192" s="268">
        <f t="shared" si="27"/>
        <v>28665</v>
      </c>
      <c r="I192" s="177">
        <f t="shared" si="26"/>
        <v>6756.75</v>
      </c>
      <c r="J192" s="178"/>
      <c r="K192" s="178"/>
      <c r="L192" s="178"/>
      <c r="M192" s="178"/>
      <c r="N192" s="178"/>
      <c r="O192" s="178"/>
      <c r="P192" s="178"/>
      <c r="Q192" s="179"/>
    </row>
    <row r="193" spans="1:17" s="50" customFormat="1" ht="25" customHeight="1">
      <c r="A193" s="358" t="s">
        <v>7</v>
      </c>
      <c r="B193" s="358" t="s">
        <v>222</v>
      </c>
      <c r="C193" s="272"/>
      <c r="D193" s="272"/>
      <c r="E193" s="272"/>
      <c r="F193" s="180">
        <f t="shared" si="25"/>
        <v>0</v>
      </c>
      <c r="G193" s="222">
        <v>10</v>
      </c>
      <c r="H193" s="268">
        <f t="shared" si="27"/>
        <v>0</v>
      </c>
      <c r="I193" s="177">
        <f t="shared" si="26"/>
        <v>0</v>
      </c>
      <c r="J193" s="178"/>
      <c r="K193" s="178"/>
      <c r="L193" s="178"/>
      <c r="M193" s="178"/>
      <c r="N193" s="178"/>
      <c r="O193" s="178"/>
      <c r="P193" s="178"/>
      <c r="Q193" s="179"/>
    </row>
    <row r="194" spans="1:17" s="50" customFormat="1" ht="25" customHeight="1">
      <c r="A194" s="358">
        <v>1</v>
      </c>
      <c r="B194" s="318" t="s">
        <v>223</v>
      </c>
      <c r="C194" s="272"/>
      <c r="D194" s="272"/>
      <c r="E194" s="272"/>
      <c r="F194" s="180">
        <f t="shared" si="25"/>
        <v>0</v>
      </c>
      <c r="G194" s="222">
        <v>15</v>
      </c>
      <c r="H194" s="268">
        <f t="shared" si="27"/>
        <v>0</v>
      </c>
      <c r="I194" s="177">
        <f t="shared" si="26"/>
        <v>0</v>
      </c>
      <c r="J194" s="178"/>
      <c r="K194" s="178"/>
      <c r="L194" s="178"/>
      <c r="M194" s="178"/>
      <c r="N194" s="178"/>
      <c r="O194" s="178"/>
      <c r="P194" s="178"/>
      <c r="Q194" s="179"/>
    </row>
    <row r="195" spans="1:17" s="50" customFormat="1" ht="25" customHeight="1">
      <c r="A195" s="358" t="s">
        <v>145</v>
      </c>
      <c r="B195" s="318" t="s">
        <v>161</v>
      </c>
      <c r="C195" s="272"/>
      <c r="D195" s="272"/>
      <c r="E195" s="272"/>
      <c r="F195" s="200">
        <f>SUM(F188:F194)</f>
        <v>7350.75</v>
      </c>
      <c r="G195" s="207">
        <f>SUM(G188:G194)</f>
        <v>85</v>
      </c>
      <c r="H195" s="207">
        <f>SUM(H188:H194)</f>
        <v>28920</v>
      </c>
      <c r="I195" s="207">
        <f>SUM(I188:I194)</f>
        <v>7350.75</v>
      </c>
      <c r="J195" s="178"/>
      <c r="K195" s="178"/>
      <c r="L195" s="178"/>
      <c r="M195" s="178"/>
      <c r="N195" s="178"/>
      <c r="O195" s="178"/>
      <c r="P195" s="178"/>
      <c r="Q195" s="179"/>
    </row>
    <row r="196" spans="1:17" s="50" customFormat="1" ht="25" customHeight="1">
      <c r="A196" s="313" t="s">
        <v>224</v>
      </c>
      <c r="B196" s="270" t="s">
        <v>671</v>
      </c>
      <c r="C196" s="357">
        <v>5</v>
      </c>
      <c r="D196" s="356">
        <v>1</v>
      </c>
      <c r="E196" s="272">
        <v>25</v>
      </c>
      <c r="F196" s="224"/>
      <c r="G196" s="224"/>
      <c r="H196" s="224"/>
      <c r="I196" s="225"/>
      <c r="J196" s="225"/>
      <c r="K196" s="225"/>
      <c r="L196" s="225"/>
      <c r="M196" s="225"/>
      <c r="N196" s="225"/>
      <c r="O196" s="225"/>
      <c r="P196" s="225"/>
      <c r="Q196" s="226"/>
    </row>
    <row r="197" spans="1:17" s="50" customFormat="1" ht="25" customHeight="1">
      <c r="A197" s="313" t="s">
        <v>225</v>
      </c>
      <c r="B197" s="270" t="s">
        <v>672</v>
      </c>
      <c r="C197" s="357">
        <v>5</v>
      </c>
      <c r="D197" s="356">
        <v>1</v>
      </c>
      <c r="E197" s="272">
        <v>26</v>
      </c>
      <c r="F197" s="224"/>
      <c r="G197" s="224"/>
      <c r="H197" s="224"/>
      <c r="I197" s="225"/>
      <c r="J197" s="225"/>
      <c r="K197" s="225"/>
      <c r="L197" s="225"/>
      <c r="M197" s="225"/>
      <c r="N197" s="225"/>
      <c r="O197" s="225"/>
      <c r="P197" s="225"/>
      <c r="Q197" s="226"/>
    </row>
    <row r="198" spans="1:17" s="50" customFormat="1" ht="25" customHeight="1">
      <c r="A198" s="274"/>
      <c r="B198" s="284" t="s">
        <v>375</v>
      </c>
      <c r="C198" s="287">
        <f>SUM(C196:C197)</f>
        <v>10</v>
      </c>
      <c r="D198" s="287">
        <f>SUM(D196:D197)</f>
        <v>2</v>
      </c>
      <c r="E198" s="287">
        <f>SUM(E196:E197)</f>
        <v>51</v>
      </c>
      <c r="F198" s="224"/>
      <c r="G198" s="224"/>
      <c r="H198" s="224"/>
      <c r="I198" s="225"/>
      <c r="J198" s="225"/>
      <c r="K198" s="225"/>
      <c r="L198" s="225"/>
      <c r="M198" s="225"/>
      <c r="N198" s="225"/>
      <c r="O198" s="225"/>
      <c r="P198" s="225"/>
      <c r="Q198" s="226"/>
    </row>
    <row r="199" spans="1:17" s="50" customFormat="1" ht="25" customHeight="1">
      <c r="A199" s="327"/>
      <c r="B199" s="332" t="s">
        <v>419</v>
      </c>
      <c r="C199" s="321">
        <f>C182+C192+C198</f>
        <v>58</v>
      </c>
      <c r="D199" s="321">
        <f>D182+D192+D198</f>
        <v>20.8</v>
      </c>
      <c r="E199" s="321">
        <f>E182+E192+E198</f>
        <v>116</v>
      </c>
      <c r="F199" s="180">
        <f>I199+J199+K199</f>
        <v>111012</v>
      </c>
      <c r="G199" s="224">
        <v>50</v>
      </c>
      <c r="H199" s="268">
        <f>C199*D199*E199*G199</f>
        <v>6997120.0000000009</v>
      </c>
      <c r="I199" s="177">
        <f>IF(G199&lt;70, C199*E199*16.5*1, C199*E199*16.5*1.3)</f>
        <v>111012</v>
      </c>
      <c r="J199" s="225"/>
      <c r="K199" s="225"/>
      <c r="L199" s="225"/>
      <c r="M199" s="225"/>
      <c r="N199" s="225"/>
      <c r="O199" s="225"/>
      <c r="P199" s="225"/>
      <c r="Q199" s="226"/>
    </row>
    <row r="200" spans="1:17" s="50" customFormat="1" ht="25" customHeight="1">
      <c r="A200" s="217" t="s">
        <v>426</v>
      </c>
      <c r="B200" s="252" t="s">
        <v>427</v>
      </c>
      <c r="C200" s="216"/>
      <c r="D200" s="216"/>
      <c r="E200" s="216"/>
      <c r="F200" s="247"/>
      <c r="G200" s="216"/>
      <c r="H200" s="216"/>
      <c r="I200" s="216"/>
      <c r="J200" s="178"/>
      <c r="K200" s="178"/>
      <c r="L200" s="178"/>
      <c r="M200" s="178"/>
      <c r="N200" s="178"/>
      <c r="O200" s="178"/>
      <c r="P200" s="178"/>
      <c r="Q200" s="179"/>
    </row>
    <row r="201" spans="1:17" s="50" customFormat="1" ht="25" customHeight="1">
      <c r="A201" s="217" t="s">
        <v>6</v>
      </c>
      <c r="B201" s="217" t="s">
        <v>221</v>
      </c>
      <c r="C201" s="216"/>
      <c r="D201" s="216"/>
      <c r="E201" s="216"/>
      <c r="F201" s="247"/>
      <c r="G201" s="216"/>
      <c r="H201" s="216"/>
      <c r="I201" s="216"/>
      <c r="J201" s="178"/>
      <c r="K201" s="178"/>
      <c r="L201" s="178"/>
      <c r="M201" s="178"/>
      <c r="N201" s="178"/>
      <c r="O201" s="178"/>
      <c r="P201" s="178"/>
      <c r="Q201" s="179"/>
    </row>
    <row r="202" spans="1:17" s="50" customFormat="1" ht="25" customHeight="1">
      <c r="A202" s="217">
        <v>1</v>
      </c>
      <c r="B202" s="217" t="s">
        <v>4</v>
      </c>
      <c r="C202" s="216"/>
      <c r="D202" s="216"/>
      <c r="E202" s="216"/>
      <c r="F202" s="247"/>
      <c r="G202" s="216"/>
      <c r="H202" s="216"/>
      <c r="I202" s="216"/>
      <c r="J202" s="178"/>
      <c r="K202" s="178"/>
      <c r="L202" s="178"/>
      <c r="M202" s="178"/>
      <c r="N202" s="178"/>
      <c r="O202" s="178"/>
      <c r="P202" s="178"/>
      <c r="Q202" s="179"/>
    </row>
    <row r="203" spans="1:17" s="50" customFormat="1" ht="25" customHeight="1">
      <c r="A203" s="269" t="s">
        <v>224</v>
      </c>
      <c r="B203" s="270" t="s">
        <v>673</v>
      </c>
      <c r="C203" s="271">
        <v>4</v>
      </c>
      <c r="D203" s="271">
        <v>1</v>
      </c>
      <c r="E203" s="271">
        <v>10</v>
      </c>
      <c r="F203" s="224"/>
      <c r="G203" s="220"/>
      <c r="H203" s="220"/>
      <c r="I203" s="227"/>
      <c r="J203" s="178"/>
      <c r="K203" s="178"/>
      <c r="L203" s="178"/>
      <c r="M203" s="178"/>
      <c r="N203" s="178"/>
      <c r="O203" s="178"/>
      <c r="P203" s="178"/>
      <c r="Q203" s="179"/>
    </row>
    <row r="204" spans="1:17" s="50" customFormat="1" ht="25" customHeight="1">
      <c r="A204" s="269" t="s">
        <v>225</v>
      </c>
      <c r="B204" s="270" t="s">
        <v>674</v>
      </c>
      <c r="C204" s="272">
        <v>3</v>
      </c>
      <c r="D204" s="272">
        <v>1</v>
      </c>
      <c r="E204" s="272">
        <v>4</v>
      </c>
      <c r="F204" s="180">
        <f t="shared" ref="F204:F210" si="28">I204+J204+K204</f>
        <v>257.40000000000003</v>
      </c>
      <c r="G204" s="228">
        <v>70</v>
      </c>
      <c r="H204" s="268">
        <f t="shared" ref="H204:H210" si="29">C204*D204*E204*G204</f>
        <v>840</v>
      </c>
      <c r="I204" s="177">
        <f t="shared" ref="I204:I210" si="30">IF(G204&lt;70, C204*E204*16.5*1, C204*E204*16.5*1.3)</f>
        <v>257.40000000000003</v>
      </c>
      <c r="J204" s="178"/>
      <c r="K204" s="178"/>
      <c r="L204" s="178"/>
      <c r="M204" s="178"/>
      <c r="N204" s="178"/>
      <c r="O204" s="178"/>
      <c r="P204" s="178"/>
      <c r="Q204" s="179"/>
    </row>
    <row r="205" spans="1:17" s="50" customFormat="1" ht="25" customHeight="1">
      <c r="A205" s="269" t="s">
        <v>226</v>
      </c>
      <c r="B205" s="285" t="s">
        <v>421</v>
      </c>
      <c r="C205" s="272">
        <v>3</v>
      </c>
      <c r="D205" s="272">
        <v>1</v>
      </c>
      <c r="E205" s="272">
        <v>3</v>
      </c>
      <c r="F205" s="180">
        <f t="shared" si="28"/>
        <v>193.05</v>
      </c>
      <c r="G205" s="224">
        <v>70</v>
      </c>
      <c r="H205" s="268">
        <f t="shared" si="29"/>
        <v>630</v>
      </c>
      <c r="I205" s="177">
        <f t="shared" si="30"/>
        <v>193.05</v>
      </c>
      <c r="J205" s="178"/>
      <c r="K205" s="178"/>
      <c r="L205" s="178"/>
      <c r="M205" s="178"/>
      <c r="N205" s="178"/>
      <c r="O205" s="178"/>
      <c r="P205" s="178"/>
      <c r="Q205" s="179"/>
    </row>
    <row r="206" spans="1:17" s="50" customFormat="1" ht="25" customHeight="1">
      <c r="A206" s="269" t="s">
        <v>227</v>
      </c>
      <c r="B206" s="285" t="s">
        <v>422</v>
      </c>
      <c r="C206" s="272">
        <v>4</v>
      </c>
      <c r="D206" s="272">
        <v>1</v>
      </c>
      <c r="E206" s="272">
        <v>3</v>
      </c>
      <c r="F206" s="180">
        <f t="shared" si="28"/>
        <v>257.40000000000003</v>
      </c>
      <c r="G206" s="224">
        <v>70</v>
      </c>
      <c r="H206" s="268">
        <f t="shared" si="29"/>
        <v>840</v>
      </c>
      <c r="I206" s="177">
        <f t="shared" si="30"/>
        <v>257.40000000000003</v>
      </c>
      <c r="J206" s="178"/>
      <c r="K206" s="178"/>
      <c r="L206" s="178"/>
      <c r="M206" s="178"/>
      <c r="N206" s="178"/>
      <c r="O206" s="178"/>
      <c r="P206" s="178"/>
      <c r="Q206" s="179"/>
    </row>
    <row r="207" spans="1:17" s="50" customFormat="1" ht="25" customHeight="1">
      <c r="A207" s="269" t="s">
        <v>228</v>
      </c>
      <c r="B207" s="285" t="s">
        <v>423</v>
      </c>
      <c r="C207" s="272">
        <v>4</v>
      </c>
      <c r="D207" s="272">
        <v>1</v>
      </c>
      <c r="E207" s="272">
        <v>4</v>
      </c>
      <c r="F207" s="180">
        <f t="shared" si="28"/>
        <v>343.2</v>
      </c>
      <c r="G207" s="224">
        <v>70</v>
      </c>
      <c r="H207" s="268">
        <f t="shared" si="29"/>
        <v>1120</v>
      </c>
      <c r="I207" s="177">
        <f t="shared" si="30"/>
        <v>343.2</v>
      </c>
      <c r="J207" s="178"/>
      <c r="K207" s="178"/>
      <c r="L207" s="178"/>
      <c r="M207" s="178"/>
      <c r="N207" s="178"/>
      <c r="O207" s="178"/>
      <c r="P207" s="178"/>
      <c r="Q207" s="179"/>
    </row>
    <row r="208" spans="1:17" s="50" customFormat="1" ht="25" customHeight="1">
      <c r="A208" s="269" t="s">
        <v>229</v>
      </c>
      <c r="B208" s="273" t="s">
        <v>424</v>
      </c>
      <c r="C208" s="272">
        <v>4</v>
      </c>
      <c r="D208" s="272">
        <v>1</v>
      </c>
      <c r="E208" s="272">
        <v>1</v>
      </c>
      <c r="F208" s="180">
        <f t="shared" si="28"/>
        <v>85.8</v>
      </c>
      <c r="G208" s="224">
        <v>70</v>
      </c>
      <c r="H208" s="268">
        <f t="shared" si="29"/>
        <v>280</v>
      </c>
      <c r="I208" s="177">
        <f t="shared" si="30"/>
        <v>85.8</v>
      </c>
      <c r="J208" s="178"/>
      <c r="K208" s="178"/>
      <c r="L208" s="178"/>
      <c r="M208" s="178"/>
      <c r="N208" s="178"/>
      <c r="O208" s="178"/>
      <c r="P208" s="178"/>
      <c r="Q208" s="179"/>
    </row>
    <row r="209" spans="1:17" s="50" customFormat="1" ht="25" customHeight="1">
      <c r="A209" s="269" t="s">
        <v>675</v>
      </c>
      <c r="B209" s="273" t="s">
        <v>676</v>
      </c>
      <c r="C209" s="272">
        <v>2</v>
      </c>
      <c r="D209" s="272">
        <v>1</v>
      </c>
      <c r="E209" s="272">
        <v>4</v>
      </c>
      <c r="F209" s="180">
        <f t="shared" si="28"/>
        <v>171.6</v>
      </c>
      <c r="G209" s="224">
        <v>70</v>
      </c>
      <c r="H209" s="268">
        <f t="shared" si="29"/>
        <v>560</v>
      </c>
      <c r="I209" s="177">
        <f t="shared" si="30"/>
        <v>171.6</v>
      </c>
      <c r="J209" s="178"/>
      <c r="K209" s="178"/>
      <c r="L209" s="178"/>
      <c r="M209" s="178"/>
      <c r="N209" s="178"/>
      <c r="O209" s="178"/>
      <c r="P209" s="178"/>
      <c r="Q209" s="179"/>
    </row>
    <row r="210" spans="1:17" s="50" customFormat="1" ht="25" customHeight="1">
      <c r="A210" s="269" t="s">
        <v>677</v>
      </c>
      <c r="B210" s="273" t="s">
        <v>678</v>
      </c>
      <c r="C210" s="272">
        <v>2</v>
      </c>
      <c r="D210" s="272">
        <v>1</v>
      </c>
      <c r="E210" s="272">
        <v>10</v>
      </c>
      <c r="F210" s="180">
        <f t="shared" si="28"/>
        <v>429</v>
      </c>
      <c r="G210" s="224">
        <v>70</v>
      </c>
      <c r="H210" s="268">
        <f t="shared" si="29"/>
        <v>1400</v>
      </c>
      <c r="I210" s="177">
        <f t="shared" si="30"/>
        <v>429</v>
      </c>
      <c r="J210" s="178"/>
      <c r="K210" s="178"/>
      <c r="L210" s="178"/>
      <c r="M210" s="178"/>
      <c r="N210" s="178"/>
      <c r="O210" s="178"/>
      <c r="P210" s="178"/>
      <c r="Q210" s="179"/>
    </row>
    <row r="211" spans="1:17" s="50" customFormat="1" ht="25" customHeight="1">
      <c r="A211" s="269" t="s">
        <v>280</v>
      </c>
      <c r="B211" s="273" t="s">
        <v>425</v>
      </c>
      <c r="C211" s="272">
        <v>3</v>
      </c>
      <c r="D211" s="272">
        <v>1</v>
      </c>
      <c r="E211" s="272">
        <v>4</v>
      </c>
      <c r="F211" s="200">
        <f>SUM(F204:F210)</f>
        <v>1737.45</v>
      </c>
      <c r="G211" s="207">
        <f>SUM(G204:G210)</f>
        <v>490</v>
      </c>
      <c r="H211" s="207">
        <f>SUM(H204:H210)</f>
        <v>5670</v>
      </c>
      <c r="I211" s="207">
        <f>SUM(I204:I210)</f>
        <v>1737.45</v>
      </c>
      <c r="J211" s="178"/>
      <c r="K211" s="178"/>
      <c r="L211" s="178"/>
      <c r="M211" s="178"/>
      <c r="N211" s="178"/>
      <c r="O211" s="178"/>
      <c r="P211" s="178"/>
      <c r="Q211" s="179"/>
    </row>
    <row r="212" spans="1:17" s="50" customFormat="1" ht="25" customHeight="1">
      <c r="A212" s="274"/>
      <c r="B212" s="284" t="s">
        <v>375</v>
      </c>
      <c r="C212" s="287">
        <f>SUM(C203:C211)</f>
        <v>29</v>
      </c>
      <c r="D212" s="287">
        <f>SUM(D203:D211)</f>
        <v>9</v>
      </c>
      <c r="E212" s="287">
        <f>SUM(E203:E211)</f>
        <v>43</v>
      </c>
      <c r="F212" s="224"/>
      <c r="G212" s="224"/>
      <c r="H212" s="224"/>
      <c r="I212" s="225"/>
      <c r="J212" s="225"/>
      <c r="K212" s="225"/>
      <c r="L212" s="225"/>
      <c r="M212" s="225"/>
      <c r="N212" s="178"/>
      <c r="O212" s="178"/>
      <c r="P212" s="178"/>
      <c r="Q212" s="179"/>
    </row>
    <row r="213" spans="1:17" s="50" customFormat="1" ht="25" customHeight="1">
      <c r="A213" s="311" t="s">
        <v>146</v>
      </c>
      <c r="B213" s="312" t="s">
        <v>149</v>
      </c>
      <c r="C213" s="272"/>
      <c r="D213" s="272"/>
      <c r="E213" s="272"/>
      <c r="F213" s="224"/>
      <c r="G213" s="224"/>
      <c r="H213" s="224"/>
      <c r="I213" s="225"/>
      <c r="J213" s="225"/>
      <c r="K213" s="225"/>
      <c r="L213" s="225"/>
      <c r="M213" s="225"/>
      <c r="N213" s="178"/>
      <c r="O213" s="178"/>
      <c r="P213" s="178"/>
      <c r="Q213" s="179"/>
    </row>
    <row r="214" spans="1:17" s="50" customFormat="1" ht="25" customHeight="1">
      <c r="A214" s="313" t="s">
        <v>230</v>
      </c>
      <c r="B214" s="269" t="s">
        <v>152</v>
      </c>
      <c r="C214" s="272"/>
      <c r="D214" s="272"/>
      <c r="E214" s="272"/>
      <c r="F214" s="224"/>
      <c r="G214" s="224"/>
      <c r="H214" s="224"/>
      <c r="I214" s="225"/>
      <c r="J214" s="225"/>
      <c r="K214" s="225"/>
      <c r="L214" s="225"/>
      <c r="M214" s="225"/>
      <c r="N214" s="178"/>
      <c r="O214" s="178"/>
      <c r="P214" s="178"/>
      <c r="Q214" s="179"/>
    </row>
    <row r="215" spans="1:17" s="50" customFormat="1" ht="25" customHeight="1">
      <c r="A215" s="313" t="s">
        <v>231</v>
      </c>
      <c r="B215" s="269" t="s">
        <v>151</v>
      </c>
      <c r="C215" s="272"/>
      <c r="D215" s="272"/>
      <c r="E215" s="272"/>
      <c r="F215" s="224"/>
      <c r="G215" s="224"/>
      <c r="H215" s="224"/>
      <c r="I215" s="225"/>
      <c r="J215" s="225"/>
      <c r="K215" s="225"/>
      <c r="L215" s="225"/>
      <c r="M215" s="225"/>
      <c r="N215" s="178"/>
      <c r="O215" s="178"/>
      <c r="P215" s="178"/>
      <c r="Q215" s="179"/>
    </row>
    <row r="216" spans="1:17" s="50" customFormat="1" ht="25" customHeight="1">
      <c r="A216" s="313" t="s">
        <v>232</v>
      </c>
      <c r="B216" s="269" t="s">
        <v>153</v>
      </c>
      <c r="C216" s="272"/>
      <c r="D216" s="272"/>
      <c r="E216" s="272"/>
      <c r="F216" s="224"/>
      <c r="G216" s="224"/>
      <c r="H216" s="224"/>
      <c r="I216" s="225"/>
      <c r="J216" s="225"/>
      <c r="K216" s="225"/>
      <c r="L216" s="225"/>
      <c r="M216" s="225"/>
      <c r="N216" s="178"/>
      <c r="O216" s="178"/>
      <c r="P216" s="178"/>
      <c r="Q216" s="179"/>
    </row>
    <row r="217" spans="1:17" s="50" customFormat="1" ht="25" customHeight="1">
      <c r="A217" s="313" t="s">
        <v>233</v>
      </c>
      <c r="B217" s="269" t="s">
        <v>154</v>
      </c>
      <c r="C217" s="272"/>
      <c r="D217" s="272"/>
      <c r="E217" s="272"/>
      <c r="F217" s="224"/>
      <c r="G217" s="224"/>
      <c r="H217" s="224"/>
      <c r="I217" s="225"/>
      <c r="J217" s="225"/>
      <c r="K217" s="225"/>
      <c r="L217" s="225"/>
      <c r="M217" s="225"/>
      <c r="N217" s="178"/>
      <c r="O217" s="178"/>
      <c r="P217" s="178"/>
      <c r="Q217" s="179"/>
    </row>
    <row r="218" spans="1:17" s="50" customFormat="1" ht="25" customHeight="1">
      <c r="A218" s="313" t="s">
        <v>234</v>
      </c>
      <c r="B218" s="269" t="s">
        <v>155</v>
      </c>
      <c r="C218" s="272"/>
      <c r="D218" s="272"/>
      <c r="E218" s="272"/>
      <c r="F218" s="224"/>
      <c r="G218" s="224"/>
      <c r="H218" s="224"/>
      <c r="I218" s="225"/>
      <c r="J218" s="225"/>
      <c r="K218" s="225"/>
      <c r="L218" s="225"/>
      <c r="M218" s="225"/>
      <c r="N218" s="178"/>
      <c r="O218" s="178"/>
      <c r="P218" s="178"/>
      <c r="Q218" s="179"/>
    </row>
    <row r="219" spans="1:17" s="50" customFormat="1" ht="25" customHeight="1">
      <c r="A219" s="358">
        <v>2</v>
      </c>
      <c r="B219" s="358" t="s">
        <v>162</v>
      </c>
      <c r="C219" s="272"/>
      <c r="D219" s="272"/>
      <c r="E219" s="272"/>
      <c r="F219" s="224"/>
      <c r="G219" s="224"/>
      <c r="H219" s="224"/>
      <c r="I219" s="225"/>
      <c r="J219" s="225"/>
      <c r="K219" s="225"/>
      <c r="L219" s="225"/>
      <c r="M219" s="225"/>
      <c r="N219" s="178"/>
      <c r="O219" s="178"/>
      <c r="P219" s="178"/>
      <c r="Q219" s="179"/>
    </row>
    <row r="220" spans="1:17" s="50" customFormat="1" ht="25" customHeight="1">
      <c r="A220" s="317" t="s">
        <v>145</v>
      </c>
      <c r="B220" s="318" t="s">
        <v>163</v>
      </c>
      <c r="C220" s="272"/>
      <c r="D220" s="272"/>
      <c r="E220" s="272"/>
      <c r="F220" s="180">
        <f>I220+J220+K220</f>
        <v>0</v>
      </c>
      <c r="G220" s="224">
        <v>25</v>
      </c>
      <c r="H220" s="268">
        <f>C220*D220*E220*G220</f>
        <v>0</v>
      </c>
      <c r="I220" s="177">
        <f>IF(G220&lt;70, C220*E220*16.5*1.5, C220*E220*16.5*1.5)</f>
        <v>0</v>
      </c>
      <c r="J220" s="225"/>
      <c r="K220" s="225"/>
      <c r="L220" s="225"/>
      <c r="M220" s="225"/>
      <c r="N220" s="178"/>
      <c r="O220" s="178"/>
      <c r="P220" s="178"/>
      <c r="Q220" s="179"/>
    </row>
    <row r="221" spans="1:17" s="50" customFormat="1" ht="25" customHeight="1">
      <c r="A221" s="269" t="s">
        <v>224</v>
      </c>
      <c r="B221" s="285" t="s">
        <v>428</v>
      </c>
      <c r="C221" s="272">
        <v>3</v>
      </c>
      <c r="D221" s="272">
        <v>1</v>
      </c>
      <c r="E221" s="272">
        <v>3</v>
      </c>
      <c r="F221" s="180">
        <f>I221+J221+K221</f>
        <v>222.75</v>
      </c>
      <c r="G221" s="224">
        <v>15</v>
      </c>
      <c r="H221" s="268">
        <f>C221*D221*E221*G221</f>
        <v>135</v>
      </c>
      <c r="I221" s="177">
        <f>IF(G221&lt;70, C221*E221*16.5*1.5, C221*E221*16.5*1.5)</f>
        <v>222.75</v>
      </c>
      <c r="J221" s="225"/>
      <c r="K221" s="225"/>
      <c r="L221" s="225"/>
      <c r="M221" s="225"/>
      <c r="N221" s="178"/>
      <c r="O221" s="178"/>
      <c r="P221" s="178"/>
      <c r="Q221" s="179"/>
    </row>
    <row r="222" spans="1:17" s="50" customFormat="1" ht="25" customHeight="1">
      <c r="A222" s="269" t="s">
        <v>225</v>
      </c>
      <c r="B222" s="285" t="s">
        <v>429</v>
      </c>
      <c r="C222" s="272">
        <v>3</v>
      </c>
      <c r="D222" s="272">
        <v>1</v>
      </c>
      <c r="E222" s="272">
        <v>1</v>
      </c>
      <c r="F222" s="180">
        <f>I222+J222+K222</f>
        <v>74.25</v>
      </c>
      <c r="G222" s="224">
        <v>25</v>
      </c>
      <c r="H222" s="268">
        <f>C222*D222*E222*G222</f>
        <v>75</v>
      </c>
      <c r="I222" s="177">
        <f>IF(G222&lt;70, C222*E222*16.5*1.5, C222*E222*16.5*1.5)</f>
        <v>74.25</v>
      </c>
      <c r="J222" s="225"/>
      <c r="K222" s="225"/>
      <c r="L222" s="225"/>
      <c r="M222" s="225"/>
      <c r="N222" s="178"/>
      <c r="O222" s="178"/>
      <c r="P222" s="178"/>
      <c r="Q222" s="179"/>
    </row>
    <row r="223" spans="1:17" s="50" customFormat="1" ht="25" customHeight="1">
      <c r="A223" s="269"/>
      <c r="B223" s="285" t="s">
        <v>679</v>
      </c>
      <c r="C223" s="272">
        <v>3</v>
      </c>
      <c r="D223" s="272">
        <v>1</v>
      </c>
      <c r="E223" s="272">
        <v>1</v>
      </c>
      <c r="F223" s="224">
        <f>SUM(F220:F222)</f>
        <v>297</v>
      </c>
      <c r="G223" s="220">
        <f>SUM(G220:G222)</f>
        <v>65</v>
      </c>
      <c r="H223" s="220">
        <f>SUM(H220:H222)</f>
        <v>210</v>
      </c>
      <c r="I223" s="220">
        <f>SUM(I220:I222)</f>
        <v>297</v>
      </c>
      <c r="J223" s="225"/>
      <c r="K223" s="225"/>
      <c r="L223" s="225"/>
      <c r="M223" s="225"/>
      <c r="N223" s="178"/>
      <c r="O223" s="178"/>
      <c r="P223" s="178"/>
      <c r="Q223" s="179"/>
    </row>
    <row r="224" spans="1:17" s="50" customFormat="1" ht="25" customHeight="1">
      <c r="A224" s="269" t="s">
        <v>226</v>
      </c>
      <c r="B224" s="270" t="s">
        <v>430</v>
      </c>
      <c r="C224" s="272">
        <v>3</v>
      </c>
      <c r="D224" s="272">
        <v>1</v>
      </c>
      <c r="E224" s="272">
        <v>3</v>
      </c>
      <c r="F224" s="224"/>
      <c r="G224" s="224"/>
      <c r="H224" s="224"/>
      <c r="I224" s="225"/>
      <c r="J224" s="225"/>
      <c r="K224" s="225"/>
      <c r="L224" s="225"/>
      <c r="M224" s="225"/>
      <c r="N224" s="178"/>
      <c r="O224" s="178"/>
      <c r="P224" s="178"/>
      <c r="Q224" s="179"/>
    </row>
    <row r="225" spans="1:17" s="50" customFormat="1" ht="25" customHeight="1">
      <c r="A225" s="269"/>
      <c r="B225" s="322" t="s">
        <v>375</v>
      </c>
      <c r="C225" s="315">
        <f>SUM(C221:C224)</f>
        <v>12</v>
      </c>
      <c r="D225" s="315">
        <f>SUM(D221:D224)</f>
        <v>4</v>
      </c>
      <c r="E225" s="315">
        <f>SUM(E221:E224)</f>
        <v>8</v>
      </c>
      <c r="F225" s="224"/>
      <c r="G225" s="224"/>
      <c r="H225" s="224"/>
      <c r="I225" s="225"/>
      <c r="J225" s="225"/>
      <c r="K225" s="225"/>
      <c r="L225" s="225"/>
      <c r="M225" s="225"/>
      <c r="N225" s="178"/>
      <c r="O225" s="178"/>
      <c r="P225" s="178"/>
      <c r="Q225" s="179"/>
    </row>
    <row r="226" spans="1:17" s="50" customFormat="1" ht="25" customHeight="1">
      <c r="A226" s="311" t="s">
        <v>146</v>
      </c>
      <c r="B226" s="312" t="s">
        <v>680</v>
      </c>
      <c r="C226" s="272"/>
      <c r="D226" s="272"/>
      <c r="E226" s="272"/>
      <c r="F226" s="224"/>
      <c r="G226" s="224"/>
      <c r="H226" s="224"/>
      <c r="I226" s="225"/>
      <c r="J226" s="225"/>
      <c r="K226" s="225"/>
      <c r="L226" s="225"/>
      <c r="M226" s="225"/>
      <c r="N226" s="178"/>
      <c r="O226" s="178"/>
      <c r="P226" s="178"/>
      <c r="Q226" s="179"/>
    </row>
    <row r="227" spans="1:17" s="50" customFormat="1" ht="25" customHeight="1">
      <c r="A227" s="358">
        <v>3</v>
      </c>
      <c r="B227" s="358" t="s">
        <v>164</v>
      </c>
      <c r="C227" s="272"/>
      <c r="D227" s="272"/>
      <c r="E227" s="272"/>
      <c r="F227" s="224"/>
      <c r="G227" s="224"/>
      <c r="H227" s="224"/>
      <c r="I227" s="225"/>
      <c r="J227" s="225"/>
      <c r="K227" s="225"/>
      <c r="L227" s="225"/>
      <c r="M227" s="225"/>
      <c r="N227" s="178"/>
      <c r="O227" s="178"/>
      <c r="P227" s="178"/>
      <c r="Q227" s="179"/>
    </row>
    <row r="228" spans="1:17" s="50" customFormat="1" ht="25" customHeight="1">
      <c r="A228" s="317" t="s">
        <v>145</v>
      </c>
      <c r="B228" s="318" t="s">
        <v>165</v>
      </c>
      <c r="C228" s="272"/>
      <c r="D228" s="272"/>
      <c r="E228" s="272"/>
      <c r="F228" s="224"/>
      <c r="G228" s="224"/>
      <c r="H228" s="224"/>
      <c r="I228" s="225"/>
      <c r="J228" s="225"/>
      <c r="K228" s="225"/>
      <c r="L228" s="225"/>
      <c r="M228" s="225"/>
      <c r="N228" s="178"/>
      <c r="O228" s="178"/>
      <c r="P228" s="178"/>
      <c r="Q228" s="179"/>
    </row>
    <row r="229" spans="1:17" s="50" customFormat="1" ht="25" customHeight="1">
      <c r="A229" s="311" t="s">
        <v>146</v>
      </c>
      <c r="B229" s="312" t="s">
        <v>166</v>
      </c>
      <c r="C229" s="272"/>
      <c r="D229" s="272"/>
      <c r="E229" s="272"/>
      <c r="F229" s="224">
        <f>F224+F227+F228</f>
        <v>0</v>
      </c>
      <c r="G229" s="220">
        <f>G224+G227+G228</f>
        <v>0</v>
      </c>
      <c r="H229" s="220">
        <f>H224+H227+H228</f>
        <v>0</v>
      </c>
      <c r="I229" s="220">
        <f>I224+I227+I228</f>
        <v>0</v>
      </c>
      <c r="J229" s="225"/>
      <c r="K229" s="225"/>
      <c r="L229" s="225"/>
      <c r="M229" s="225"/>
      <c r="N229" s="178"/>
      <c r="O229" s="178"/>
      <c r="P229" s="178"/>
      <c r="Q229" s="179"/>
    </row>
    <row r="230" spans="1:17" s="50" customFormat="1" ht="25" customHeight="1">
      <c r="A230" s="311" t="s">
        <v>167</v>
      </c>
      <c r="B230" s="312" t="s">
        <v>168</v>
      </c>
      <c r="C230" s="272"/>
      <c r="D230" s="272"/>
      <c r="E230" s="272"/>
      <c r="F230" s="224"/>
      <c r="G230" s="224"/>
      <c r="H230" s="224"/>
      <c r="I230" s="225"/>
      <c r="J230" s="225"/>
      <c r="K230" s="225"/>
      <c r="L230" s="225"/>
      <c r="M230" s="225"/>
      <c r="N230" s="178"/>
      <c r="O230" s="178"/>
      <c r="P230" s="178"/>
      <c r="Q230" s="179"/>
    </row>
    <row r="231" spans="1:17" s="50" customFormat="1" ht="25" customHeight="1">
      <c r="A231" s="313"/>
      <c r="B231" s="314" t="s">
        <v>433</v>
      </c>
      <c r="C231" s="315">
        <f>C229+C230</f>
        <v>0</v>
      </c>
      <c r="D231" s="315">
        <f>D226+D229+D230</f>
        <v>0</v>
      </c>
      <c r="E231" s="315">
        <f>E226+E229+E230</f>
        <v>0</v>
      </c>
      <c r="F231" s="224"/>
      <c r="G231" s="224"/>
      <c r="H231" s="224"/>
      <c r="I231" s="225"/>
      <c r="J231" s="225"/>
      <c r="K231" s="225"/>
      <c r="L231" s="225"/>
      <c r="M231" s="225"/>
      <c r="N231" s="178"/>
      <c r="O231" s="178"/>
      <c r="P231" s="178"/>
      <c r="Q231" s="179"/>
    </row>
    <row r="232" spans="1:17" s="50" customFormat="1" ht="25" customHeight="1">
      <c r="A232" s="358" t="s">
        <v>7</v>
      </c>
      <c r="B232" s="358" t="s">
        <v>222</v>
      </c>
      <c r="C232" s="272"/>
      <c r="D232" s="272"/>
      <c r="E232" s="272"/>
      <c r="F232" s="224"/>
      <c r="G232" s="224"/>
      <c r="H232" s="224"/>
      <c r="I232" s="225"/>
      <c r="J232" s="225"/>
      <c r="K232" s="225"/>
      <c r="L232" s="225"/>
      <c r="M232" s="225"/>
      <c r="N232" s="178"/>
      <c r="O232" s="178"/>
      <c r="P232" s="178"/>
      <c r="Q232" s="179"/>
    </row>
    <row r="233" spans="1:17" s="50" customFormat="1" ht="25" customHeight="1">
      <c r="A233" s="358">
        <v>1</v>
      </c>
      <c r="B233" s="318" t="s">
        <v>223</v>
      </c>
      <c r="C233" s="272"/>
      <c r="D233" s="272"/>
      <c r="E233" s="272"/>
      <c r="F233" s="180">
        <f t="shared" ref="F233:F238" si="31">I233+J233+K233</f>
        <v>0</v>
      </c>
      <c r="G233" s="224">
        <v>60</v>
      </c>
      <c r="H233" s="268">
        <f t="shared" ref="H233:H238" si="32">C233*D233*E233*G233</f>
        <v>0</v>
      </c>
      <c r="I233" s="177">
        <f t="shared" ref="I233:I238" si="33">IF(G233&lt;70, C233*E233*16.5*1, C233*E233*16.5*1.3)</f>
        <v>0</v>
      </c>
      <c r="J233" s="225"/>
      <c r="K233" s="225"/>
      <c r="L233" s="225"/>
      <c r="M233" s="225"/>
      <c r="N233" s="178"/>
      <c r="O233" s="178"/>
      <c r="P233" s="178"/>
      <c r="Q233" s="179"/>
    </row>
    <row r="234" spans="1:17" s="50" customFormat="1" ht="25" customHeight="1">
      <c r="A234" s="358" t="s">
        <v>145</v>
      </c>
      <c r="B234" s="318" t="s">
        <v>161</v>
      </c>
      <c r="C234" s="272"/>
      <c r="D234" s="272"/>
      <c r="E234" s="272"/>
      <c r="F234" s="180">
        <f t="shared" si="31"/>
        <v>0</v>
      </c>
      <c r="G234" s="224">
        <v>60</v>
      </c>
      <c r="H234" s="268">
        <f t="shared" si="32"/>
        <v>0</v>
      </c>
      <c r="I234" s="177">
        <f t="shared" si="33"/>
        <v>0</v>
      </c>
      <c r="J234" s="225"/>
      <c r="K234" s="225"/>
      <c r="L234" s="225"/>
      <c r="M234" s="225"/>
      <c r="N234" s="178"/>
      <c r="O234" s="178"/>
      <c r="P234" s="178"/>
      <c r="Q234" s="179"/>
    </row>
    <row r="235" spans="1:17" s="50" customFormat="1" ht="25" customHeight="1">
      <c r="A235" s="313" t="s">
        <v>224</v>
      </c>
      <c r="B235" s="285" t="s">
        <v>681</v>
      </c>
      <c r="C235" s="272">
        <v>5</v>
      </c>
      <c r="D235" s="272">
        <v>1</v>
      </c>
      <c r="E235" s="272">
        <v>16</v>
      </c>
      <c r="F235" s="180">
        <f t="shared" si="31"/>
        <v>1320</v>
      </c>
      <c r="G235" s="224">
        <v>60</v>
      </c>
      <c r="H235" s="268">
        <f t="shared" si="32"/>
        <v>4800</v>
      </c>
      <c r="I235" s="177">
        <f t="shared" si="33"/>
        <v>1320</v>
      </c>
      <c r="J235" s="225"/>
      <c r="K235" s="225"/>
      <c r="L235" s="225"/>
      <c r="M235" s="225"/>
      <c r="N235" s="178"/>
      <c r="O235" s="178"/>
      <c r="P235" s="178"/>
      <c r="Q235" s="179"/>
    </row>
    <row r="236" spans="1:17" s="50" customFormat="1" ht="25" customHeight="1">
      <c r="A236" s="313" t="s">
        <v>225</v>
      </c>
      <c r="B236" s="285" t="s">
        <v>431</v>
      </c>
      <c r="C236" s="272">
        <v>5</v>
      </c>
      <c r="D236" s="272">
        <v>1</v>
      </c>
      <c r="E236" s="272">
        <v>7</v>
      </c>
      <c r="F236" s="180">
        <f t="shared" si="31"/>
        <v>577.5</v>
      </c>
      <c r="G236" s="224">
        <v>60</v>
      </c>
      <c r="H236" s="268">
        <f t="shared" si="32"/>
        <v>2100</v>
      </c>
      <c r="I236" s="177">
        <f t="shared" si="33"/>
        <v>577.5</v>
      </c>
      <c r="J236" s="225"/>
      <c r="K236" s="225"/>
      <c r="L236" s="225"/>
      <c r="M236" s="225"/>
      <c r="N236" s="178"/>
      <c r="O236" s="178"/>
      <c r="P236" s="178"/>
      <c r="Q236" s="179"/>
    </row>
    <row r="237" spans="1:17" s="50" customFormat="1" ht="25" customHeight="1">
      <c r="A237" s="313" t="s">
        <v>226</v>
      </c>
      <c r="B237" s="285" t="s">
        <v>420</v>
      </c>
      <c r="C237" s="272">
        <v>3</v>
      </c>
      <c r="D237" s="272">
        <v>1</v>
      </c>
      <c r="E237" s="272">
        <v>16</v>
      </c>
      <c r="F237" s="180">
        <f t="shared" si="31"/>
        <v>792</v>
      </c>
      <c r="G237" s="186">
        <v>50</v>
      </c>
      <c r="H237" s="268">
        <f t="shared" si="32"/>
        <v>2400</v>
      </c>
      <c r="I237" s="177">
        <f t="shared" si="33"/>
        <v>792</v>
      </c>
      <c r="J237" s="225"/>
      <c r="K237" s="225"/>
      <c r="L237" s="225"/>
      <c r="M237" s="225"/>
      <c r="N237" s="178"/>
      <c r="O237" s="178"/>
      <c r="P237" s="178"/>
      <c r="Q237" s="179"/>
    </row>
    <row r="238" spans="1:17" s="50" customFormat="1" ht="25" customHeight="1">
      <c r="A238" s="313" t="s">
        <v>227</v>
      </c>
      <c r="B238" s="285" t="s">
        <v>432</v>
      </c>
      <c r="C238" s="272">
        <v>3</v>
      </c>
      <c r="D238" s="272">
        <v>1</v>
      </c>
      <c r="E238" s="272">
        <v>7</v>
      </c>
      <c r="F238" s="180">
        <f t="shared" si="31"/>
        <v>346.5</v>
      </c>
      <c r="G238" s="186">
        <v>50</v>
      </c>
      <c r="H238" s="268">
        <f t="shared" si="32"/>
        <v>1050</v>
      </c>
      <c r="I238" s="177">
        <f t="shared" si="33"/>
        <v>346.5</v>
      </c>
      <c r="J238" s="225"/>
      <c r="K238" s="225"/>
      <c r="L238" s="225"/>
      <c r="M238" s="225"/>
      <c r="N238" s="178"/>
      <c r="O238" s="178"/>
      <c r="P238" s="178"/>
      <c r="Q238" s="179"/>
    </row>
    <row r="239" spans="1:17" s="50" customFormat="1" ht="25" customHeight="1">
      <c r="A239" s="313" t="s">
        <v>228</v>
      </c>
      <c r="B239" s="285" t="s">
        <v>498</v>
      </c>
      <c r="C239" s="276">
        <v>5</v>
      </c>
      <c r="D239" s="276">
        <v>1</v>
      </c>
      <c r="E239" s="276">
        <v>7</v>
      </c>
      <c r="F239" s="200">
        <f>SUM(F233:F238)</f>
        <v>3036</v>
      </c>
      <c r="G239" s="207">
        <f>SUM(G233:G238)</f>
        <v>340</v>
      </c>
      <c r="H239" s="207">
        <f>SUM(H233:H238)</f>
        <v>10350</v>
      </c>
      <c r="I239" s="207">
        <f>SUM(I233:I238)</f>
        <v>3036</v>
      </c>
      <c r="J239" s="178"/>
      <c r="K239" s="178"/>
      <c r="L239" s="178"/>
      <c r="M239" s="178"/>
      <c r="N239" s="178"/>
      <c r="O239" s="178"/>
      <c r="P239" s="178"/>
      <c r="Q239" s="179"/>
    </row>
    <row r="240" spans="1:17" s="50" customFormat="1" ht="25" customHeight="1">
      <c r="A240" s="313" t="s">
        <v>229</v>
      </c>
      <c r="B240" s="285" t="s">
        <v>499</v>
      </c>
      <c r="C240" s="276">
        <v>5</v>
      </c>
      <c r="D240" s="276">
        <v>1</v>
      </c>
      <c r="E240" s="276">
        <v>16</v>
      </c>
      <c r="F240" s="246">
        <f>F211+F223+F229+F239</f>
        <v>5070.45</v>
      </c>
      <c r="G240" s="210">
        <f>G211+G223+G229+G239</f>
        <v>895</v>
      </c>
      <c r="H240" s="210">
        <f>H211+H223+H229+H239</f>
        <v>16230</v>
      </c>
      <c r="I240" s="210">
        <f>I211+I223+I229+I239</f>
        <v>5070.45</v>
      </c>
      <c r="J240" s="229">
        <v>0</v>
      </c>
      <c r="K240" s="230">
        <v>0</v>
      </c>
      <c r="L240" s="191">
        <f>'Bieu3 GDH'!F20</f>
        <v>1080</v>
      </c>
      <c r="M240" s="191">
        <f>'Bieu3 GDH'!N20</f>
        <v>1039.5</v>
      </c>
      <c r="N240" s="187">
        <f>I240-M240</f>
        <v>4030.95</v>
      </c>
      <c r="O240" s="191">
        <f>'Bieu3 GDH'!O20</f>
        <v>805.25</v>
      </c>
      <c r="P240" s="191">
        <f>'Bieu3 GDH'!P20</f>
        <v>370</v>
      </c>
      <c r="Q240" s="192"/>
    </row>
    <row r="241" spans="1:17" s="50" customFormat="1" ht="25" customHeight="1">
      <c r="A241" s="274"/>
      <c r="B241" s="284" t="s">
        <v>375</v>
      </c>
      <c r="C241" s="287">
        <f>SUM(C235:C240)</f>
        <v>26</v>
      </c>
      <c r="D241" s="287">
        <f>SUM(D235:D240)</f>
        <v>6</v>
      </c>
      <c r="E241" s="287">
        <f>SUM(E235:E240)</f>
        <v>69</v>
      </c>
      <c r="F241" s="365"/>
      <c r="G241" s="364"/>
      <c r="H241" s="364"/>
      <c r="I241" s="364"/>
      <c r="J241" s="366"/>
      <c r="K241" s="367"/>
      <c r="L241" s="294"/>
      <c r="M241" s="294"/>
      <c r="N241" s="289"/>
      <c r="O241" s="294"/>
      <c r="P241" s="294"/>
      <c r="Q241" s="295"/>
    </row>
    <row r="242" spans="1:17" s="50" customFormat="1" ht="25" customHeight="1">
      <c r="A242" s="327"/>
      <c r="B242" s="368" t="s">
        <v>434</v>
      </c>
      <c r="C242" s="321">
        <f>C4+C212+C225+C231+C241</f>
        <v>67</v>
      </c>
      <c r="D242" s="321">
        <f>D212+D225+D231+D241</f>
        <v>19</v>
      </c>
      <c r="E242" s="321">
        <f>E212+E225+E231+E241</f>
        <v>120</v>
      </c>
      <c r="F242" s="365"/>
      <c r="G242" s="364"/>
      <c r="H242" s="364"/>
      <c r="I242" s="364"/>
      <c r="J242" s="366"/>
      <c r="K242" s="367"/>
      <c r="L242" s="294"/>
      <c r="M242" s="294"/>
      <c r="N242" s="289"/>
      <c r="O242" s="294"/>
      <c r="P242" s="294"/>
      <c r="Q242" s="295"/>
    </row>
    <row r="243" spans="1:17" s="50" customFormat="1" ht="25" customHeight="1">
      <c r="A243" s="168" t="s">
        <v>5</v>
      </c>
      <c r="B243" s="168" t="s">
        <v>478</v>
      </c>
      <c r="C243" s="169"/>
      <c r="D243" s="169"/>
      <c r="E243" s="169"/>
      <c r="F243" s="244"/>
      <c r="G243" s="169"/>
      <c r="H243" s="169"/>
      <c r="I243" s="169"/>
      <c r="J243" s="169"/>
      <c r="K243" s="211"/>
      <c r="L243" s="212"/>
      <c r="M243" s="213"/>
      <c r="N243" s="213"/>
      <c r="O243" s="213"/>
      <c r="P243" s="213"/>
      <c r="Q243" s="213"/>
    </row>
    <row r="244" spans="1:17" s="50" customFormat="1" ht="25" customHeight="1">
      <c r="A244" s="168" t="s">
        <v>6</v>
      </c>
      <c r="B244" s="168" t="s">
        <v>221</v>
      </c>
      <c r="C244" s="169"/>
      <c r="D244" s="169"/>
      <c r="E244" s="169"/>
      <c r="F244" s="244"/>
      <c r="G244" s="169"/>
      <c r="H244" s="169"/>
      <c r="I244" s="169"/>
      <c r="J244" s="169"/>
      <c r="K244" s="211"/>
      <c r="L244" s="212"/>
      <c r="M244" s="213"/>
      <c r="N244" s="213"/>
      <c r="O244" s="213"/>
      <c r="P244" s="213"/>
      <c r="Q244" s="213"/>
    </row>
    <row r="245" spans="1:17" s="50" customFormat="1" ht="25" customHeight="1">
      <c r="A245" s="168">
        <v>1</v>
      </c>
      <c r="B245" s="168" t="s">
        <v>4</v>
      </c>
      <c r="C245" s="169"/>
      <c r="D245" s="169"/>
      <c r="E245" s="169"/>
      <c r="F245" s="244"/>
      <c r="G245" s="169"/>
      <c r="H245" s="169"/>
      <c r="I245" s="169"/>
      <c r="J245" s="169"/>
      <c r="K245" s="211"/>
      <c r="L245" s="212"/>
      <c r="M245" s="213"/>
      <c r="N245" s="213"/>
      <c r="O245" s="213"/>
      <c r="P245" s="213"/>
      <c r="Q245" s="213"/>
    </row>
    <row r="246" spans="1:17" s="50" customFormat="1" ht="25" customHeight="1">
      <c r="A246" s="170" t="s">
        <v>145</v>
      </c>
      <c r="B246" s="171" t="s">
        <v>159</v>
      </c>
      <c r="C246" s="172"/>
      <c r="D246" s="172"/>
      <c r="E246" s="172"/>
      <c r="F246" s="268"/>
      <c r="G246" s="172"/>
      <c r="H246" s="172"/>
      <c r="I246" s="173"/>
      <c r="J246" s="173"/>
      <c r="K246" s="211"/>
      <c r="L246" s="212"/>
      <c r="M246" s="213"/>
      <c r="N246" s="213"/>
      <c r="O246" s="213"/>
      <c r="P246" s="213"/>
      <c r="Q246" s="213"/>
    </row>
    <row r="247" spans="1:17" s="50" customFormat="1" ht="25" customHeight="1">
      <c r="A247" s="288" t="s">
        <v>224</v>
      </c>
      <c r="B247" s="296" t="s">
        <v>435</v>
      </c>
      <c r="C247" s="272">
        <v>2</v>
      </c>
      <c r="D247" s="297">
        <v>1</v>
      </c>
      <c r="E247" s="272">
        <v>1</v>
      </c>
      <c r="F247" s="180">
        <f t="shared" ref="F247:F272" si="34">I247+J247+K247</f>
        <v>33</v>
      </c>
      <c r="G247" s="268">
        <v>40</v>
      </c>
      <c r="H247" s="268">
        <f t="shared" ref="H247:H271" si="35">C247*D247*E247*G247</f>
        <v>80</v>
      </c>
      <c r="I247" s="177">
        <f t="shared" ref="I247:I272" si="36">IF(G247&lt;70, C247*E247*16.5*1, C247*E247*16.5*1.3)</f>
        <v>33</v>
      </c>
      <c r="J247" s="173"/>
      <c r="K247" s="211"/>
      <c r="L247" s="212"/>
      <c r="M247" s="213"/>
      <c r="N247" s="213"/>
      <c r="O247" s="213"/>
      <c r="P247" s="213"/>
      <c r="Q247" s="213"/>
    </row>
    <row r="248" spans="1:17" s="50" customFormat="1" ht="25" customHeight="1">
      <c r="A248" s="288" t="s">
        <v>225</v>
      </c>
      <c r="B248" s="323" t="s">
        <v>436</v>
      </c>
      <c r="C248" s="272">
        <v>3</v>
      </c>
      <c r="D248" s="272">
        <v>1</v>
      </c>
      <c r="E248" s="272">
        <v>1</v>
      </c>
      <c r="F248" s="180">
        <f t="shared" si="34"/>
        <v>49.5</v>
      </c>
      <c r="G248" s="268">
        <v>20</v>
      </c>
      <c r="H248" s="268">
        <f t="shared" si="35"/>
        <v>60</v>
      </c>
      <c r="I248" s="177">
        <f t="shared" si="36"/>
        <v>49.5</v>
      </c>
      <c r="J248" s="173"/>
      <c r="K248" s="211"/>
      <c r="L248" s="212"/>
      <c r="M248" s="213"/>
      <c r="N248" s="213"/>
      <c r="O248" s="213"/>
      <c r="P248" s="213"/>
      <c r="Q248" s="213"/>
    </row>
    <row r="249" spans="1:17" s="50" customFormat="1" ht="25" customHeight="1">
      <c r="A249" s="288" t="s">
        <v>226</v>
      </c>
      <c r="B249" s="270" t="s">
        <v>437</v>
      </c>
      <c r="C249" s="272">
        <v>2</v>
      </c>
      <c r="D249" s="272">
        <v>1</v>
      </c>
      <c r="E249" s="272">
        <v>3</v>
      </c>
      <c r="F249" s="180">
        <f t="shared" si="34"/>
        <v>128.70000000000002</v>
      </c>
      <c r="G249" s="268">
        <v>80</v>
      </c>
      <c r="H249" s="268">
        <f t="shared" si="35"/>
        <v>480</v>
      </c>
      <c r="I249" s="177">
        <f t="shared" si="36"/>
        <v>128.70000000000002</v>
      </c>
      <c r="J249" s="178"/>
      <c r="K249" s="211"/>
      <c r="L249" s="212"/>
      <c r="M249" s="213"/>
      <c r="N249" s="213"/>
      <c r="O249" s="213"/>
      <c r="P249" s="213"/>
      <c r="Q249" s="213"/>
    </row>
    <row r="250" spans="1:17" s="50" customFormat="1" ht="25" customHeight="1">
      <c r="A250" s="288" t="s">
        <v>227</v>
      </c>
      <c r="B250" s="296" t="s">
        <v>438</v>
      </c>
      <c r="C250" s="272">
        <v>3</v>
      </c>
      <c r="D250" s="272">
        <v>1</v>
      </c>
      <c r="E250" s="272">
        <v>1</v>
      </c>
      <c r="F250" s="180">
        <f t="shared" si="34"/>
        <v>64.350000000000009</v>
      </c>
      <c r="G250" s="268">
        <v>80</v>
      </c>
      <c r="H250" s="268">
        <f t="shared" si="35"/>
        <v>240</v>
      </c>
      <c r="I250" s="177">
        <f t="shared" si="36"/>
        <v>64.350000000000009</v>
      </c>
      <c r="J250" s="173"/>
      <c r="K250" s="211"/>
      <c r="L250" s="212"/>
      <c r="M250" s="213"/>
      <c r="N250" s="213"/>
      <c r="O250" s="213"/>
      <c r="P250" s="213"/>
      <c r="Q250" s="213"/>
    </row>
    <row r="251" spans="1:17" s="50" customFormat="1" ht="25" customHeight="1">
      <c r="A251" s="288" t="s">
        <v>228</v>
      </c>
      <c r="B251" s="270" t="s">
        <v>437</v>
      </c>
      <c r="C251" s="272">
        <v>2</v>
      </c>
      <c r="D251" s="272">
        <v>1</v>
      </c>
      <c r="E251" s="272">
        <v>2</v>
      </c>
      <c r="F251" s="180">
        <f t="shared" si="34"/>
        <v>85.8</v>
      </c>
      <c r="G251" s="268">
        <v>80</v>
      </c>
      <c r="H251" s="268">
        <f t="shared" si="35"/>
        <v>320</v>
      </c>
      <c r="I251" s="177">
        <f t="shared" si="36"/>
        <v>85.8</v>
      </c>
      <c r="J251" s="173"/>
      <c r="K251" s="211"/>
      <c r="L251" s="212"/>
      <c r="M251" s="213"/>
      <c r="N251" s="213"/>
      <c r="O251" s="213"/>
      <c r="P251" s="213"/>
      <c r="Q251" s="213"/>
    </row>
    <row r="252" spans="1:17" s="50" customFormat="1" ht="25" customHeight="1">
      <c r="A252" s="288" t="s">
        <v>229</v>
      </c>
      <c r="B252" s="296" t="s">
        <v>435</v>
      </c>
      <c r="C252" s="272">
        <v>2</v>
      </c>
      <c r="D252" s="272">
        <v>1</v>
      </c>
      <c r="E252" s="272">
        <v>1</v>
      </c>
      <c r="F252" s="180">
        <f t="shared" si="34"/>
        <v>42.9</v>
      </c>
      <c r="G252" s="268">
        <v>80</v>
      </c>
      <c r="H252" s="268">
        <f t="shared" si="35"/>
        <v>160</v>
      </c>
      <c r="I252" s="177">
        <f t="shared" si="36"/>
        <v>42.9</v>
      </c>
      <c r="J252" s="173"/>
      <c r="K252" s="211"/>
      <c r="L252" s="212"/>
      <c r="M252" s="213"/>
      <c r="N252" s="213"/>
      <c r="O252" s="213"/>
      <c r="P252" s="213"/>
      <c r="Q252" s="213"/>
    </row>
    <row r="253" spans="1:17" s="50" customFormat="1" ht="25" customHeight="1">
      <c r="A253" s="288" t="s">
        <v>280</v>
      </c>
      <c r="B253" s="285" t="s">
        <v>439</v>
      </c>
      <c r="C253" s="271">
        <v>3</v>
      </c>
      <c r="D253" s="297">
        <v>1</v>
      </c>
      <c r="E253" s="271">
        <v>1</v>
      </c>
      <c r="F253" s="180">
        <f t="shared" si="34"/>
        <v>49.5</v>
      </c>
      <c r="G253" s="177">
        <v>40</v>
      </c>
      <c r="H253" s="268">
        <f t="shared" si="35"/>
        <v>120</v>
      </c>
      <c r="I253" s="177">
        <f t="shared" si="36"/>
        <v>49.5</v>
      </c>
      <c r="J253" s="173"/>
      <c r="K253" s="211"/>
      <c r="L253" s="212"/>
      <c r="M253" s="213"/>
      <c r="N253" s="213"/>
      <c r="O253" s="213"/>
      <c r="P253" s="213"/>
      <c r="Q253" s="213"/>
    </row>
    <row r="254" spans="1:17" s="50" customFormat="1" ht="25" customHeight="1">
      <c r="A254" s="288" t="s">
        <v>281</v>
      </c>
      <c r="B254" s="285" t="s">
        <v>440</v>
      </c>
      <c r="C254" s="271">
        <v>2</v>
      </c>
      <c r="D254" s="297">
        <v>1</v>
      </c>
      <c r="E254" s="271">
        <v>1</v>
      </c>
      <c r="F254" s="180">
        <f t="shared" si="34"/>
        <v>33</v>
      </c>
      <c r="G254" s="177">
        <v>40</v>
      </c>
      <c r="H254" s="268">
        <f t="shared" si="35"/>
        <v>80</v>
      </c>
      <c r="I254" s="177">
        <f t="shared" si="36"/>
        <v>33</v>
      </c>
      <c r="J254" s="173"/>
      <c r="K254" s="211"/>
      <c r="L254" s="212"/>
      <c r="M254" s="213"/>
      <c r="N254" s="213"/>
      <c r="O254" s="213"/>
      <c r="P254" s="213"/>
      <c r="Q254" s="213"/>
    </row>
    <row r="255" spans="1:17" s="50" customFormat="1" ht="25" customHeight="1">
      <c r="A255" s="288" t="s">
        <v>282</v>
      </c>
      <c r="B255" s="285" t="s">
        <v>441</v>
      </c>
      <c r="C255" s="271">
        <v>3</v>
      </c>
      <c r="D255" s="297">
        <v>1</v>
      </c>
      <c r="E255" s="271">
        <v>1</v>
      </c>
      <c r="F255" s="180">
        <f t="shared" si="34"/>
        <v>49.5</v>
      </c>
      <c r="G255" s="177">
        <v>30</v>
      </c>
      <c r="H255" s="268">
        <f t="shared" si="35"/>
        <v>90</v>
      </c>
      <c r="I255" s="177">
        <f t="shared" si="36"/>
        <v>49.5</v>
      </c>
      <c r="J255" s="173"/>
      <c r="K255" s="211"/>
      <c r="L255" s="212"/>
      <c r="M255" s="213"/>
      <c r="N255" s="213"/>
      <c r="O255" s="213"/>
      <c r="P255" s="213"/>
      <c r="Q255" s="213"/>
    </row>
    <row r="256" spans="1:17" s="50" customFormat="1" ht="25" customHeight="1">
      <c r="A256" s="288" t="s">
        <v>283</v>
      </c>
      <c r="B256" s="285" t="s">
        <v>442</v>
      </c>
      <c r="C256" s="271">
        <v>4</v>
      </c>
      <c r="D256" s="297">
        <v>1</v>
      </c>
      <c r="E256" s="271">
        <v>1</v>
      </c>
      <c r="F256" s="180">
        <f t="shared" si="34"/>
        <v>66</v>
      </c>
      <c r="G256" s="177">
        <v>30</v>
      </c>
      <c r="H256" s="268">
        <f t="shared" si="35"/>
        <v>120</v>
      </c>
      <c r="I256" s="177">
        <f t="shared" si="36"/>
        <v>66</v>
      </c>
      <c r="J256" s="173"/>
      <c r="K256" s="211"/>
      <c r="L256" s="212"/>
      <c r="M256" s="213"/>
      <c r="N256" s="213"/>
      <c r="O256" s="213"/>
      <c r="P256" s="213"/>
      <c r="Q256" s="213"/>
    </row>
    <row r="257" spans="1:17" s="50" customFormat="1" ht="25" customHeight="1">
      <c r="A257" s="288" t="s">
        <v>284</v>
      </c>
      <c r="B257" s="296" t="s">
        <v>435</v>
      </c>
      <c r="C257" s="271">
        <v>2</v>
      </c>
      <c r="D257" s="297">
        <v>1</v>
      </c>
      <c r="E257" s="271">
        <v>1</v>
      </c>
      <c r="F257" s="180">
        <f t="shared" si="34"/>
        <v>42.9</v>
      </c>
      <c r="G257" s="177">
        <v>80</v>
      </c>
      <c r="H257" s="268">
        <f t="shared" si="35"/>
        <v>160</v>
      </c>
      <c r="I257" s="177">
        <f t="shared" si="36"/>
        <v>42.9</v>
      </c>
      <c r="J257" s="173"/>
      <c r="K257" s="211"/>
      <c r="L257" s="212"/>
      <c r="M257" s="213"/>
      <c r="N257" s="213"/>
      <c r="O257" s="213"/>
      <c r="P257" s="213"/>
      <c r="Q257" s="213"/>
    </row>
    <row r="258" spans="1:17" s="50" customFormat="1" ht="25" customHeight="1">
      <c r="A258" s="288" t="s">
        <v>287</v>
      </c>
      <c r="B258" s="270" t="s">
        <v>437</v>
      </c>
      <c r="C258" s="272">
        <v>2</v>
      </c>
      <c r="D258" s="272">
        <v>1</v>
      </c>
      <c r="E258" s="271">
        <v>1</v>
      </c>
      <c r="F258" s="180">
        <f t="shared" si="34"/>
        <v>42.9</v>
      </c>
      <c r="G258" s="268">
        <v>80</v>
      </c>
      <c r="H258" s="268">
        <f t="shared" si="35"/>
        <v>160</v>
      </c>
      <c r="I258" s="177">
        <f t="shared" si="36"/>
        <v>42.9</v>
      </c>
      <c r="J258" s="173"/>
      <c r="K258" s="211"/>
      <c r="L258" s="212"/>
      <c r="M258" s="213"/>
      <c r="N258" s="213"/>
      <c r="O258" s="213"/>
      <c r="P258" s="213"/>
      <c r="Q258" s="213"/>
    </row>
    <row r="259" spans="1:17" s="50" customFormat="1" ht="25" customHeight="1">
      <c r="A259" s="288" t="s">
        <v>288</v>
      </c>
      <c r="B259" s="285" t="s">
        <v>443</v>
      </c>
      <c r="C259" s="272">
        <v>4</v>
      </c>
      <c r="D259" s="272">
        <v>1</v>
      </c>
      <c r="E259" s="272">
        <v>1</v>
      </c>
      <c r="F259" s="180">
        <f t="shared" si="34"/>
        <v>66</v>
      </c>
      <c r="G259" s="268">
        <v>30</v>
      </c>
      <c r="H259" s="268">
        <f t="shared" si="35"/>
        <v>120</v>
      </c>
      <c r="I259" s="177">
        <f t="shared" si="36"/>
        <v>66</v>
      </c>
      <c r="J259" s="173"/>
      <c r="K259" s="211"/>
      <c r="L259" s="212"/>
      <c r="M259" s="213"/>
      <c r="N259" s="213"/>
      <c r="O259" s="213"/>
      <c r="P259" s="213"/>
      <c r="Q259" s="213"/>
    </row>
    <row r="260" spans="1:17" s="50" customFormat="1" ht="25" customHeight="1">
      <c r="A260" s="288" t="s">
        <v>289</v>
      </c>
      <c r="B260" s="285" t="s">
        <v>444</v>
      </c>
      <c r="C260" s="324">
        <v>4</v>
      </c>
      <c r="D260" s="301">
        <v>1</v>
      </c>
      <c r="E260" s="301">
        <v>1</v>
      </c>
      <c r="F260" s="180">
        <f t="shared" si="34"/>
        <v>66</v>
      </c>
      <c r="G260" s="251">
        <v>40</v>
      </c>
      <c r="H260" s="268">
        <f t="shared" si="35"/>
        <v>160</v>
      </c>
      <c r="I260" s="177">
        <f t="shared" si="36"/>
        <v>66</v>
      </c>
      <c r="J260" s="173"/>
      <c r="K260" s="211"/>
      <c r="L260" s="212"/>
      <c r="M260" s="213"/>
      <c r="N260" s="213"/>
      <c r="O260" s="213"/>
      <c r="P260" s="213"/>
      <c r="Q260" s="213"/>
    </row>
    <row r="261" spans="1:17" s="50" customFormat="1" ht="25" customHeight="1">
      <c r="A261" s="288" t="s">
        <v>290</v>
      </c>
      <c r="B261" s="296" t="s">
        <v>435</v>
      </c>
      <c r="C261" s="324">
        <v>2</v>
      </c>
      <c r="D261" s="301">
        <v>1</v>
      </c>
      <c r="E261" s="301">
        <v>1</v>
      </c>
      <c r="F261" s="180">
        <f t="shared" si="34"/>
        <v>42.9</v>
      </c>
      <c r="G261" s="251">
        <v>89</v>
      </c>
      <c r="H261" s="268">
        <f t="shared" si="35"/>
        <v>178</v>
      </c>
      <c r="I261" s="177">
        <f t="shared" si="36"/>
        <v>42.9</v>
      </c>
      <c r="J261" s="173"/>
      <c r="K261" s="211"/>
      <c r="L261" s="212"/>
      <c r="M261" s="213"/>
      <c r="N261" s="213"/>
      <c r="O261" s="213"/>
      <c r="P261" s="213"/>
      <c r="Q261" s="213"/>
    </row>
    <row r="262" spans="1:17" s="50" customFormat="1" ht="25" customHeight="1">
      <c r="A262" s="288" t="s">
        <v>389</v>
      </c>
      <c r="B262" s="285" t="s">
        <v>445</v>
      </c>
      <c r="C262" s="324">
        <v>3</v>
      </c>
      <c r="D262" s="301">
        <v>1</v>
      </c>
      <c r="E262" s="301">
        <v>1</v>
      </c>
      <c r="F262" s="180">
        <f t="shared" si="34"/>
        <v>49.5</v>
      </c>
      <c r="G262" s="251">
        <v>40</v>
      </c>
      <c r="H262" s="268">
        <f t="shared" si="35"/>
        <v>120</v>
      </c>
      <c r="I262" s="177">
        <f t="shared" si="36"/>
        <v>49.5</v>
      </c>
      <c r="J262" s="178"/>
      <c r="K262" s="211"/>
      <c r="L262" s="212"/>
      <c r="M262" s="213"/>
      <c r="N262" s="213"/>
      <c r="O262" s="213"/>
      <c r="P262" s="213"/>
      <c r="Q262" s="213"/>
    </row>
    <row r="263" spans="1:17" s="50" customFormat="1" ht="25" customHeight="1">
      <c r="A263" s="288" t="s">
        <v>390</v>
      </c>
      <c r="B263" s="270" t="s">
        <v>437</v>
      </c>
      <c r="C263" s="272">
        <v>2</v>
      </c>
      <c r="D263" s="272">
        <v>1</v>
      </c>
      <c r="E263" s="272">
        <v>1</v>
      </c>
      <c r="F263" s="180">
        <f t="shared" si="34"/>
        <v>42.9</v>
      </c>
      <c r="G263" s="268">
        <v>80</v>
      </c>
      <c r="H263" s="268">
        <f t="shared" si="35"/>
        <v>160</v>
      </c>
      <c r="I263" s="177">
        <f t="shared" si="36"/>
        <v>42.9</v>
      </c>
      <c r="J263" s="178"/>
      <c r="K263" s="211"/>
      <c r="L263" s="212"/>
      <c r="M263" s="213"/>
      <c r="N263" s="213"/>
      <c r="O263" s="213"/>
      <c r="P263" s="213"/>
      <c r="Q263" s="213"/>
    </row>
    <row r="264" spans="1:17" s="50" customFormat="1" ht="25" customHeight="1">
      <c r="A264" s="288" t="s">
        <v>391</v>
      </c>
      <c r="B264" s="325" t="s">
        <v>446</v>
      </c>
      <c r="C264" s="272">
        <v>2</v>
      </c>
      <c r="D264" s="272">
        <v>1</v>
      </c>
      <c r="E264" s="272">
        <v>1</v>
      </c>
      <c r="F264" s="180">
        <f t="shared" si="34"/>
        <v>33</v>
      </c>
      <c r="G264" s="268">
        <v>40</v>
      </c>
      <c r="H264" s="268">
        <f t="shared" si="35"/>
        <v>80</v>
      </c>
      <c r="I264" s="177">
        <f t="shared" si="36"/>
        <v>33</v>
      </c>
      <c r="J264" s="178"/>
      <c r="K264" s="211"/>
      <c r="L264" s="212"/>
      <c r="M264" s="213"/>
      <c r="N264" s="213"/>
      <c r="O264" s="213"/>
      <c r="P264" s="213"/>
      <c r="Q264" s="213"/>
    </row>
    <row r="265" spans="1:17" s="50" customFormat="1" ht="25" customHeight="1">
      <c r="A265" s="288" t="s">
        <v>392</v>
      </c>
      <c r="B265" s="285" t="s">
        <v>447</v>
      </c>
      <c r="C265" s="272">
        <v>3</v>
      </c>
      <c r="D265" s="272">
        <v>1</v>
      </c>
      <c r="E265" s="272">
        <v>1</v>
      </c>
      <c r="F265" s="180">
        <f t="shared" si="34"/>
        <v>49.5</v>
      </c>
      <c r="G265" s="268">
        <v>40</v>
      </c>
      <c r="H265" s="268">
        <f t="shared" si="35"/>
        <v>120</v>
      </c>
      <c r="I265" s="177">
        <f t="shared" si="36"/>
        <v>49.5</v>
      </c>
      <c r="J265" s="178"/>
      <c r="K265" s="211"/>
      <c r="L265" s="212"/>
      <c r="M265" s="213"/>
      <c r="N265" s="213"/>
      <c r="O265" s="213"/>
      <c r="P265" s="213"/>
      <c r="Q265" s="213"/>
    </row>
    <row r="266" spans="1:17" s="50" customFormat="1" ht="25" customHeight="1">
      <c r="A266" s="288" t="s">
        <v>393</v>
      </c>
      <c r="B266" s="285" t="s">
        <v>448</v>
      </c>
      <c r="C266" s="272">
        <v>2</v>
      </c>
      <c r="D266" s="272">
        <v>1</v>
      </c>
      <c r="E266" s="272">
        <v>1</v>
      </c>
      <c r="F266" s="180">
        <f t="shared" si="34"/>
        <v>42.9</v>
      </c>
      <c r="G266" s="268">
        <v>80</v>
      </c>
      <c r="H266" s="268">
        <f t="shared" si="35"/>
        <v>160</v>
      </c>
      <c r="I266" s="177">
        <f t="shared" si="36"/>
        <v>42.9</v>
      </c>
      <c r="J266" s="178"/>
      <c r="K266" s="211"/>
      <c r="L266" s="212"/>
      <c r="M266" s="213"/>
      <c r="N266" s="213"/>
      <c r="O266" s="213"/>
      <c r="P266" s="213"/>
      <c r="Q266" s="213"/>
    </row>
    <row r="267" spans="1:17" s="50" customFormat="1" ht="25" customHeight="1">
      <c r="A267" s="288" t="s">
        <v>394</v>
      </c>
      <c r="B267" s="285" t="s">
        <v>440</v>
      </c>
      <c r="C267" s="271">
        <v>2</v>
      </c>
      <c r="D267" s="302">
        <v>1</v>
      </c>
      <c r="E267" s="302">
        <v>1</v>
      </c>
      <c r="F267" s="180">
        <f t="shared" si="34"/>
        <v>33</v>
      </c>
      <c r="G267" s="181">
        <v>40</v>
      </c>
      <c r="H267" s="268">
        <f t="shared" si="35"/>
        <v>80</v>
      </c>
      <c r="I267" s="177">
        <f t="shared" si="36"/>
        <v>33</v>
      </c>
      <c r="J267" s="178"/>
      <c r="K267" s="211"/>
      <c r="L267" s="212"/>
      <c r="M267" s="213"/>
      <c r="N267" s="213"/>
      <c r="O267" s="213"/>
      <c r="P267" s="213"/>
      <c r="Q267" s="213"/>
    </row>
    <row r="268" spans="1:17" s="50" customFormat="1" ht="25" customHeight="1">
      <c r="A268" s="288" t="s">
        <v>395</v>
      </c>
      <c r="B268" s="285" t="s">
        <v>448</v>
      </c>
      <c r="C268" s="272">
        <v>2</v>
      </c>
      <c r="D268" s="272">
        <v>1.3</v>
      </c>
      <c r="E268" s="272">
        <v>1</v>
      </c>
      <c r="F268" s="180">
        <f t="shared" si="34"/>
        <v>33</v>
      </c>
      <c r="G268" s="268">
        <v>40</v>
      </c>
      <c r="H268" s="268">
        <f t="shared" si="35"/>
        <v>104</v>
      </c>
      <c r="I268" s="177">
        <f t="shared" si="36"/>
        <v>33</v>
      </c>
      <c r="J268" s="178"/>
      <c r="K268" s="211"/>
      <c r="L268" s="212"/>
      <c r="M268" s="213"/>
      <c r="N268" s="213"/>
      <c r="O268" s="213"/>
      <c r="P268" s="213"/>
      <c r="Q268" s="213"/>
    </row>
    <row r="269" spans="1:17" s="50" customFormat="1" ht="25" customHeight="1">
      <c r="A269" s="288" t="s">
        <v>396</v>
      </c>
      <c r="B269" s="285" t="s">
        <v>449</v>
      </c>
      <c r="C269" s="272">
        <v>4</v>
      </c>
      <c r="D269" s="272">
        <v>1</v>
      </c>
      <c r="E269" s="272">
        <v>1</v>
      </c>
      <c r="F269" s="180">
        <f t="shared" si="34"/>
        <v>66</v>
      </c>
      <c r="G269" s="268">
        <v>40</v>
      </c>
      <c r="H269" s="268">
        <f t="shared" si="35"/>
        <v>160</v>
      </c>
      <c r="I269" s="177">
        <f t="shared" si="36"/>
        <v>66</v>
      </c>
      <c r="J269" s="178"/>
      <c r="K269" s="211"/>
      <c r="L269" s="212"/>
      <c r="M269" s="213"/>
      <c r="N269" s="213"/>
      <c r="O269" s="213"/>
      <c r="P269" s="213"/>
      <c r="Q269" s="213"/>
    </row>
    <row r="270" spans="1:17" s="50" customFormat="1" ht="25" customHeight="1">
      <c r="A270" s="288" t="s">
        <v>397</v>
      </c>
      <c r="B270" s="285" t="s">
        <v>450</v>
      </c>
      <c r="C270" s="272">
        <v>4</v>
      </c>
      <c r="D270" s="272">
        <v>1</v>
      </c>
      <c r="E270" s="272">
        <v>1</v>
      </c>
      <c r="F270" s="180">
        <f t="shared" si="34"/>
        <v>66</v>
      </c>
      <c r="G270" s="268">
        <v>40</v>
      </c>
      <c r="H270" s="268">
        <f t="shared" si="35"/>
        <v>160</v>
      </c>
      <c r="I270" s="177">
        <f t="shared" si="36"/>
        <v>66</v>
      </c>
      <c r="J270" s="178"/>
      <c r="K270" s="211"/>
      <c r="L270" s="212"/>
      <c r="M270" s="213"/>
      <c r="N270" s="213"/>
      <c r="O270" s="213"/>
      <c r="P270" s="213"/>
      <c r="Q270" s="213"/>
    </row>
    <row r="271" spans="1:17" s="50" customFormat="1" ht="25" customHeight="1">
      <c r="A271" s="288" t="s">
        <v>398</v>
      </c>
      <c r="B271" s="285" t="s">
        <v>451</v>
      </c>
      <c r="C271" s="272">
        <v>3</v>
      </c>
      <c r="D271" s="272">
        <v>1</v>
      </c>
      <c r="E271" s="272">
        <v>1</v>
      </c>
      <c r="F271" s="180">
        <f t="shared" si="34"/>
        <v>49.5</v>
      </c>
      <c r="G271" s="268">
        <v>40</v>
      </c>
      <c r="H271" s="268">
        <f t="shared" si="35"/>
        <v>120</v>
      </c>
      <c r="I271" s="177">
        <f t="shared" si="36"/>
        <v>49.5</v>
      </c>
      <c r="J271" s="178"/>
      <c r="K271" s="211"/>
      <c r="L271" s="212"/>
      <c r="M271" s="213"/>
      <c r="N271" s="213"/>
      <c r="O271" s="213"/>
      <c r="P271" s="213"/>
      <c r="Q271" s="213"/>
    </row>
    <row r="272" spans="1:17" s="50" customFormat="1" ht="25" customHeight="1">
      <c r="A272" s="288" t="s">
        <v>399</v>
      </c>
      <c r="B272" s="285" t="s">
        <v>452</v>
      </c>
      <c r="C272" s="272">
        <v>1</v>
      </c>
      <c r="D272" s="272">
        <v>1.3</v>
      </c>
      <c r="E272" s="272">
        <v>1</v>
      </c>
      <c r="F272" s="180">
        <f t="shared" si="34"/>
        <v>16.5</v>
      </c>
      <c r="G272" s="268">
        <v>40</v>
      </c>
      <c r="H272" s="268">
        <f>C272*D272*E272*G272</f>
        <v>52</v>
      </c>
      <c r="I272" s="177">
        <f t="shared" si="36"/>
        <v>16.5</v>
      </c>
      <c r="J272" s="178"/>
      <c r="K272" s="211"/>
      <c r="L272" s="212"/>
      <c r="M272" s="213"/>
      <c r="N272" s="213"/>
      <c r="O272" s="213"/>
      <c r="P272" s="213"/>
      <c r="Q272" s="213"/>
    </row>
    <row r="273" spans="1:17" s="50" customFormat="1" ht="25" customHeight="1">
      <c r="A273" s="269"/>
      <c r="B273" s="326" t="s">
        <v>375</v>
      </c>
      <c r="C273" s="271">
        <f>SUM(C247:C272)</f>
        <v>68</v>
      </c>
      <c r="D273" s="271">
        <f t="shared" ref="D273:I273" si="37">SUM(D247:D272)</f>
        <v>26.6</v>
      </c>
      <c r="E273" s="271">
        <f t="shared" si="37"/>
        <v>29</v>
      </c>
      <c r="F273" s="196">
        <f t="shared" si="37"/>
        <v>1344.75</v>
      </c>
      <c r="G273" s="196">
        <f t="shared" si="37"/>
        <v>1359</v>
      </c>
      <c r="H273" s="196">
        <f t="shared" si="37"/>
        <v>3844</v>
      </c>
      <c r="I273" s="196">
        <f t="shared" si="37"/>
        <v>1344.75</v>
      </c>
      <c r="J273" s="178"/>
      <c r="K273" s="211"/>
      <c r="L273" s="212"/>
      <c r="M273" s="213"/>
      <c r="N273" s="213"/>
      <c r="O273" s="213"/>
      <c r="P273" s="213"/>
      <c r="Q273" s="213"/>
    </row>
    <row r="274" spans="1:17" s="50" customFormat="1" ht="25" customHeight="1">
      <c r="A274" s="311" t="s">
        <v>146</v>
      </c>
      <c r="B274" s="312" t="s">
        <v>149</v>
      </c>
      <c r="C274" s="272"/>
      <c r="D274" s="272"/>
      <c r="E274" s="272"/>
      <c r="F274" s="268"/>
      <c r="G274" s="268"/>
      <c r="H274" s="268"/>
      <c r="I274" s="178"/>
      <c r="J274" s="178"/>
      <c r="K274" s="211"/>
      <c r="L274" s="212"/>
      <c r="M274" s="213"/>
      <c r="N274" s="213"/>
      <c r="O274" s="213"/>
      <c r="P274" s="213"/>
      <c r="Q274" s="213"/>
    </row>
    <row r="275" spans="1:17" s="50" customFormat="1" ht="25" customHeight="1">
      <c r="A275" s="313" t="s">
        <v>230</v>
      </c>
      <c r="B275" s="269" t="s">
        <v>152</v>
      </c>
      <c r="C275" s="272"/>
      <c r="D275" s="272"/>
      <c r="E275" s="272"/>
      <c r="F275" s="268"/>
      <c r="G275" s="268"/>
      <c r="H275" s="268"/>
      <c r="I275" s="178"/>
      <c r="J275" s="178"/>
      <c r="K275" s="211"/>
      <c r="L275" s="212"/>
      <c r="M275" s="213"/>
      <c r="N275" s="213"/>
      <c r="O275" s="213"/>
      <c r="P275" s="213"/>
      <c r="Q275" s="213"/>
    </row>
    <row r="276" spans="1:17" s="50" customFormat="1" ht="25" customHeight="1">
      <c r="A276" s="313" t="s">
        <v>231</v>
      </c>
      <c r="B276" s="269" t="s">
        <v>151</v>
      </c>
      <c r="C276" s="272"/>
      <c r="D276" s="272"/>
      <c r="E276" s="272"/>
      <c r="F276" s="268"/>
      <c r="G276" s="268"/>
      <c r="H276" s="268"/>
      <c r="I276" s="178"/>
      <c r="J276" s="178"/>
      <c r="K276" s="211"/>
      <c r="L276" s="212"/>
      <c r="M276" s="213"/>
      <c r="N276" s="213"/>
      <c r="O276" s="213"/>
      <c r="P276" s="213"/>
      <c r="Q276" s="213"/>
    </row>
    <row r="277" spans="1:17" s="50" customFormat="1" ht="25" customHeight="1">
      <c r="A277" s="327" t="s">
        <v>232</v>
      </c>
      <c r="B277" s="328" t="s">
        <v>153</v>
      </c>
      <c r="C277" s="329">
        <v>5</v>
      </c>
      <c r="D277" s="329" t="s">
        <v>649</v>
      </c>
      <c r="E277" s="329">
        <v>21</v>
      </c>
      <c r="F277" s="268"/>
      <c r="G277" s="268"/>
      <c r="H277" s="268"/>
      <c r="I277" s="178"/>
      <c r="J277" s="178"/>
      <c r="K277" s="211"/>
      <c r="L277" s="212"/>
      <c r="M277" s="213"/>
      <c r="N277" s="213"/>
      <c r="O277" s="213"/>
      <c r="P277" s="213"/>
      <c r="Q277" s="213"/>
    </row>
    <row r="278" spans="1:17" s="50" customFormat="1" ht="25" customHeight="1">
      <c r="A278" s="327" t="s">
        <v>233</v>
      </c>
      <c r="B278" s="328" t="s">
        <v>154</v>
      </c>
      <c r="C278" s="329">
        <v>5</v>
      </c>
      <c r="D278" s="329" t="s">
        <v>649</v>
      </c>
      <c r="E278" s="329">
        <v>21</v>
      </c>
      <c r="F278" s="268"/>
      <c r="G278" s="268"/>
      <c r="H278" s="268"/>
      <c r="I278" s="178"/>
      <c r="J278" s="178"/>
      <c r="K278" s="211"/>
      <c r="L278" s="212"/>
      <c r="M278" s="213"/>
      <c r="N278" s="213"/>
      <c r="O278" s="213"/>
      <c r="P278" s="213"/>
      <c r="Q278" s="213"/>
    </row>
    <row r="279" spans="1:17" s="50" customFormat="1" ht="25" customHeight="1">
      <c r="A279" s="313" t="s">
        <v>234</v>
      </c>
      <c r="B279" s="269" t="s">
        <v>155</v>
      </c>
      <c r="C279" s="272"/>
      <c r="D279" s="272"/>
      <c r="E279" s="272"/>
      <c r="F279" s="268"/>
      <c r="G279" s="268"/>
      <c r="H279" s="268"/>
      <c r="I279" s="178"/>
      <c r="J279" s="178"/>
      <c r="K279" s="211"/>
      <c r="L279" s="212"/>
      <c r="M279" s="213"/>
      <c r="N279" s="213"/>
      <c r="O279" s="213"/>
      <c r="P279" s="213"/>
      <c r="Q279" s="213"/>
    </row>
    <row r="280" spans="1:17" s="50" customFormat="1" ht="25" customHeight="1">
      <c r="A280" s="316">
        <v>2</v>
      </c>
      <c r="B280" s="316" t="s">
        <v>162</v>
      </c>
      <c r="C280" s="272"/>
      <c r="D280" s="272"/>
      <c r="E280" s="272"/>
      <c r="F280" s="268"/>
      <c r="G280" s="268"/>
      <c r="H280" s="268"/>
      <c r="I280" s="178"/>
      <c r="J280" s="178"/>
      <c r="K280" s="211"/>
      <c r="L280" s="212"/>
      <c r="M280" s="213"/>
      <c r="N280" s="213"/>
      <c r="O280" s="213"/>
      <c r="P280" s="213"/>
      <c r="Q280" s="213"/>
    </row>
    <row r="281" spans="1:17" s="50" customFormat="1" ht="25" customHeight="1">
      <c r="A281" s="317" t="s">
        <v>145</v>
      </c>
      <c r="B281" s="318" t="s">
        <v>163</v>
      </c>
      <c r="C281" s="272"/>
      <c r="D281" s="272"/>
      <c r="E281" s="272"/>
      <c r="F281" s="268"/>
      <c r="G281" s="268"/>
      <c r="H281" s="268"/>
      <c r="I281" s="178"/>
      <c r="J281" s="178"/>
      <c r="K281" s="211"/>
      <c r="L281" s="212"/>
      <c r="M281" s="213"/>
      <c r="N281" s="213"/>
      <c r="O281" s="213"/>
      <c r="P281" s="213"/>
      <c r="Q281" s="213"/>
    </row>
    <row r="282" spans="1:17" s="50" customFormat="1" ht="25" customHeight="1">
      <c r="A282" s="269" t="s">
        <v>224</v>
      </c>
      <c r="B282" s="270" t="s">
        <v>453</v>
      </c>
      <c r="C282" s="272">
        <v>3</v>
      </c>
      <c r="D282" s="272">
        <v>1</v>
      </c>
      <c r="E282" s="272">
        <v>6</v>
      </c>
      <c r="F282" s="180">
        <f t="shared" ref="F282:F294" si="38">I282+J282+K282</f>
        <v>445.5</v>
      </c>
      <c r="G282" s="268">
        <v>30</v>
      </c>
      <c r="H282" s="268">
        <f t="shared" ref="H282:H294" si="39">C282*D282*E282*G282</f>
        <v>540</v>
      </c>
      <c r="I282" s="177">
        <f>IF(G282&lt;70, C282*E282*16.5*1.5, C282*E282*16.5*1.5)</f>
        <v>445.5</v>
      </c>
      <c r="J282" s="178"/>
      <c r="K282" s="211"/>
      <c r="L282" s="212"/>
      <c r="M282" s="213"/>
      <c r="N282" s="213"/>
      <c r="O282" s="213"/>
      <c r="P282" s="213"/>
      <c r="Q282" s="213"/>
    </row>
    <row r="283" spans="1:17" s="50" customFormat="1" ht="25" customHeight="1">
      <c r="A283" s="269" t="s">
        <v>225</v>
      </c>
      <c r="B283" s="270" t="s">
        <v>454</v>
      </c>
      <c r="C283" s="272">
        <v>3</v>
      </c>
      <c r="D283" s="272">
        <v>1</v>
      </c>
      <c r="E283" s="272">
        <v>6</v>
      </c>
      <c r="F283" s="180">
        <f t="shared" si="38"/>
        <v>445.5</v>
      </c>
      <c r="G283" s="268">
        <v>30</v>
      </c>
      <c r="H283" s="268">
        <f t="shared" si="39"/>
        <v>540</v>
      </c>
      <c r="I283" s="177">
        <f t="shared" ref="I283:I289" si="40">IF(G283&lt;70, C283*E283*16.5*1.5, C283*E283*16.5*1.5)</f>
        <v>445.5</v>
      </c>
      <c r="J283" s="178"/>
      <c r="K283" s="211"/>
      <c r="L283" s="212"/>
      <c r="M283" s="213"/>
      <c r="N283" s="213"/>
      <c r="O283" s="213"/>
      <c r="P283" s="213"/>
      <c r="Q283" s="213"/>
    </row>
    <row r="284" spans="1:17" s="50" customFormat="1" ht="25" customHeight="1">
      <c r="A284" s="269" t="s">
        <v>226</v>
      </c>
      <c r="B284" s="270" t="s">
        <v>455</v>
      </c>
      <c r="C284" s="272">
        <v>3</v>
      </c>
      <c r="D284" s="272">
        <v>1</v>
      </c>
      <c r="E284" s="272">
        <v>1</v>
      </c>
      <c r="F284" s="180">
        <f t="shared" si="38"/>
        <v>74.25</v>
      </c>
      <c r="G284" s="268">
        <v>30</v>
      </c>
      <c r="H284" s="268">
        <f t="shared" si="39"/>
        <v>90</v>
      </c>
      <c r="I284" s="177">
        <f t="shared" si="40"/>
        <v>74.25</v>
      </c>
      <c r="J284" s="178"/>
      <c r="K284" s="211"/>
      <c r="L284" s="212"/>
      <c r="M284" s="213"/>
      <c r="N284" s="213"/>
      <c r="O284" s="213"/>
      <c r="P284" s="213"/>
      <c r="Q284" s="213"/>
    </row>
    <row r="285" spans="1:17" s="50" customFormat="1" ht="25" customHeight="1">
      <c r="A285" s="269" t="s">
        <v>227</v>
      </c>
      <c r="B285" s="270" t="s">
        <v>456</v>
      </c>
      <c r="C285" s="272">
        <v>3</v>
      </c>
      <c r="D285" s="272">
        <v>1</v>
      </c>
      <c r="E285" s="272">
        <v>1</v>
      </c>
      <c r="F285" s="180">
        <f t="shared" si="38"/>
        <v>74.25</v>
      </c>
      <c r="G285" s="268">
        <v>30</v>
      </c>
      <c r="H285" s="268">
        <f t="shared" si="39"/>
        <v>90</v>
      </c>
      <c r="I285" s="177">
        <f t="shared" si="40"/>
        <v>74.25</v>
      </c>
      <c r="J285" s="178"/>
      <c r="K285" s="211"/>
      <c r="L285" s="212"/>
      <c r="M285" s="213"/>
      <c r="N285" s="213"/>
      <c r="O285" s="213"/>
      <c r="P285" s="213"/>
      <c r="Q285" s="213"/>
    </row>
    <row r="286" spans="1:17" s="50" customFormat="1" ht="25" customHeight="1">
      <c r="A286" s="269" t="s">
        <v>228</v>
      </c>
      <c r="B286" s="273" t="s">
        <v>457</v>
      </c>
      <c r="C286" s="272">
        <v>3</v>
      </c>
      <c r="D286" s="272">
        <v>1</v>
      </c>
      <c r="E286" s="272">
        <v>6</v>
      </c>
      <c r="F286" s="180">
        <f t="shared" si="38"/>
        <v>445.5</v>
      </c>
      <c r="G286" s="268">
        <v>30</v>
      </c>
      <c r="H286" s="268">
        <f t="shared" si="39"/>
        <v>540</v>
      </c>
      <c r="I286" s="177">
        <f t="shared" si="40"/>
        <v>445.5</v>
      </c>
      <c r="J286" s="178"/>
      <c r="K286" s="211"/>
      <c r="L286" s="212"/>
      <c r="M286" s="213"/>
      <c r="N286" s="213"/>
      <c r="O286" s="213"/>
      <c r="P286" s="213"/>
      <c r="Q286" s="213"/>
    </row>
    <row r="287" spans="1:17" s="50" customFormat="1" ht="25" customHeight="1">
      <c r="A287" s="269" t="s">
        <v>229</v>
      </c>
      <c r="B287" s="273" t="s">
        <v>458</v>
      </c>
      <c r="C287" s="272">
        <v>3</v>
      </c>
      <c r="D287" s="272">
        <v>1</v>
      </c>
      <c r="E287" s="272">
        <v>6</v>
      </c>
      <c r="F287" s="180">
        <f t="shared" si="38"/>
        <v>445.5</v>
      </c>
      <c r="G287" s="268">
        <v>30</v>
      </c>
      <c r="H287" s="268">
        <f t="shared" si="39"/>
        <v>540</v>
      </c>
      <c r="I287" s="177">
        <f t="shared" si="40"/>
        <v>445.5</v>
      </c>
      <c r="J287" s="178"/>
      <c r="K287" s="183"/>
      <c r="L287" s="171"/>
      <c r="M287" s="231"/>
      <c r="N287" s="231"/>
      <c r="O287" s="231"/>
      <c r="P287" s="231"/>
      <c r="Q287" s="231"/>
    </row>
    <row r="288" spans="1:17" s="50" customFormat="1" ht="25" customHeight="1">
      <c r="A288" s="269" t="s">
        <v>280</v>
      </c>
      <c r="B288" s="273" t="s">
        <v>459</v>
      </c>
      <c r="C288" s="272">
        <v>3</v>
      </c>
      <c r="D288" s="272">
        <v>1</v>
      </c>
      <c r="E288" s="272">
        <v>1</v>
      </c>
      <c r="F288" s="180">
        <f t="shared" si="38"/>
        <v>74.25</v>
      </c>
      <c r="G288" s="268">
        <v>30</v>
      </c>
      <c r="H288" s="268">
        <f t="shared" si="39"/>
        <v>90</v>
      </c>
      <c r="I288" s="177">
        <f t="shared" si="40"/>
        <v>74.25</v>
      </c>
      <c r="J288" s="178"/>
      <c r="K288" s="168"/>
      <c r="L288" s="168"/>
      <c r="M288" s="231"/>
      <c r="N288" s="231"/>
      <c r="O288" s="231"/>
      <c r="P288" s="231"/>
      <c r="Q288" s="231"/>
    </row>
    <row r="289" spans="1:17" s="50" customFormat="1" ht="25" customHeight="1">
      <c r="A289" s="269" t="s">
        <v>281</v>
      </c>
      <c r="B289" s="273" t="s">
        <v>460</v>
      </c>
      <c r="C289" s="272">
        <v>3</v>
      </c>
      <c r="D289" s="272">
        <v>1</v>
      </c>
      <c r="E289" s="272">
        <v>1</v>
      </c>
      <c r="F289" s="180">
        <f t="shared" si="38"/>
        <v>74.25</v>
      </c>
      <c r="G289" s="268">
        <v>30</v>
      </c>
      <c r="H289" s="268">
        <f t="shared" si="39"/>
        <v>90</v>
      </c>
      <c r="I289" s="177">
        <f t="shared" si="40"/>
        <v>74.25</v>
      </c>
      <c r="J289" s="178"/>
      <c r="K289" s="183"/>
      <c r="L289" s="168"/>
      <c r="M289" s="231"/>
      <c r="N289" s="231"/>
      <c r="O289" s="231"/>
      <c r="P289" s="231"/>
      <c r="Q289" s="231"/>
    </row>
    <row r="290" spans="1:17" s="50" customFormat="1" ht="25" customHeight="1">
      <c r="A290" s="269" t="s">
        <v>282</v>
      </c>
      <c r="B290" s="273" t="s">
        <v>461</v>
      </c>
      <c r="C290" s="272">
        <v>3</v>
      </c>
      <c r="D290" s="272">
        <v>1</v>
      </c>
      <c r="E290" s="272">
        <v>6</v>
      </c>
      <c r="F290" s="180">
        <f t="shared" si="38"/>
        <v>445.5</v>
      </c>
      <c r="G290" s="268">
        <v>30</v>
      </c>
      <c r="H290" s="268">
        <f t="shared" si="39"/>
        <v>540</v>
      </c>
      <c r="I290" s="229"/>
      <c r="J290" s="177">
        <f>IF(G290&lt;70, C290*E290*16.5*1.5, C290*E290*16.5*1.5)</f>
        <v>445.5</v>
      </c>
      <c r="K290" s="168"/>
      <c r="L290" s="168"/>
      <c r="M290" s="231"/>
      <c r="N290" s="231"/>
      <c r="O290" s="231"/>
      <c r="P290" s="231"/>
      <c r="Q290" s="231"/>
    </row>
    <row r="291" spans="1:17" s="50" customFormat="1" ht="25" customHeight="1">
      <c r="A291" s="269" t="s">
        <v>283</v>
      </c>
      <c r="B291" s="273" t="s">
        <v>462</v>
      </c>
      <c r="C291" s="272">
        <v>3</v>
      </c>
      <c r="D291" s="272">
        <v>1</v>
      </c>
      <c r="E291" s="272">
        <v>6</v>
      </c>
      <c r="F291" s="180">
        <f t="shared" si="38"/>
        <v>445.5</v>
      </c>
      <c r="G291" s="268">
        <v>30</v>
      </c>
      <c r="H291" s="268">
        <f t="shared" si="39"/>
        <v>540</v>
      </c>
      <c r="I291" s="229"/>
      <c r="J291" s="177">
        <f>IF(G291&lt;70, C291*E291*16.5*1.5, C291*E291*16.5*1.5)</f>
        <v>445.5</v>
      </c>
      <c r="K291" s="168"/>
      <c r="L291" s="168"/>
      <c r="M291" s="231"/>
      <c r="N291" s="231"/>
      <c r="O291" s="231"/>
      <c r="P291" s="231"/>
      <c r="Q291" s="231"/>
    </row>
    <row r="292" spans="1:17" s="253" customFormat="1" ht="25" customHeight="1">
      <c r="A292" s="269" t="s">
        <v>284</v>
      </c>
      <c r="B292" s="273" t="s">
        <v>463</v>
      </c>
      <c r="C292" s="272">
        <v>3</v>
      </c>
      <c r="D292" s="272">
        <v>1</v>
      </c>
      <c r="E292" s="272">
        <v>1</v>
      </c>
      <c r="F292" s="180">
        <f t="shared" si="38"/>
        <v>74.25</v>
      </c>
      <c r="G292" s="268">
        <v>30</v>
      </c>
      <c r="H292" s="268">
        <f t="shared" si="39"/>
        <v>90</v>
      </c>
      <c r="I292" s="251"/>
      <c r="J292" s="177">
        <f>IF(G292&lt;70, C292*E292*16.5*1.5, C292*E292*16.5*1.5)</f>
        <v>74.25</v>
      </c>
      <c r="K292" s="164"/>
      <c r="L292" s="185"/>
      <c r="M292" s="231"/>
      <c r="N292" s="231"/>
      <c r="O292" s="231"/>
      <c r="P292" s="231"/>
      <c r="Q292" s="231"/>
    </row>
    <row r="293" spans="1:17" s="253" customFormat="1" ht="25" customHeight="1">
      <c r="A293" s="269" t="s">
        <v>287</v>
      </c>
      <c r="B293" s="273" t="s">
        <v>464</v>
      </c>
      <c r="C293" s="272">
        <v>3</v>
      </c>
      <c r="D293" s="272">
        <v>1</v>
      </c>
      <c r="E293" s="272">
        <v>1</v>
      </c>
      <c r="F293" s="180">
        <f t="shared" si="38"/>
        <v>74.25</v>
      </c>
      <c r="G293" s="268">
        <v>30</v>
      </c>
      <c r="H293" s="268">
        <f t="shared" si="39"/>
        <v>90</v>
      </c>
      <c r="I293" s="251"/>
      <c r="J293" s="177">
        <f>IF(G293&lt;70, C293*E293*16.5*1.5, C293*E293*16.5*1.5)</f>
        <v>74.25</v>
      </c>
      <c r="K293" s="164"/>
      <c r="L293" s="185"/>
      <c r="M293" s="231"/>
      <c r="N293" s="231"/>
      <c r="O293" s="231"/>
      <c r="P293" s="231"/>
      <c r="Q293" s="231"/>
    </row>
    <row r="294" spans="1:17" s="253" customFormat="1" ht="25" customHeight="1">
      <c r="A294" s="269" t="s">
        <v>288</v>
      </c>
      <c r="B294" s="273" t="s">
        <v>458</v>
      </c>
      <c r="C294" s="272">
        <v>3</v>
      </c>
      <c r="D294" s="272">
        <v>1</v>
      </c>
      <c r="E294" s="272">
        <v>1</v>
      </c>
      <c r="F294" s="180">
        <f t="shared" si="38"/>
        <v>74.25</v>
      </c>
      <c r="G294" s="268">
        <v>30</v>
      </c>
      <c r="H294" s="268">
        <f t="shared" si="39"/>
        <v>90</v>
      </c>
      <c r="I294" s="178"/>
      <c r="J294" s="177">
        <f>IF(G294&lt;70, C294*E294*16.5*1.5, C294*E294*16.5*1.5)</f>
        <v>74.25</v>
      </c>
      <c r="K294" s="232"/>
      <c r="L294" s="232"/>
      <c r="M294" s="233"/>
      <c r="N294" s="233"/>
      <c r="O294" s="233"/>
      <c r="P294" s="233"/>
      <c r="Q294" s="233"/>
    </row>
    <row r="295" spans="1:17" s="253" customFormat="1" ht="25" customHeight="1">
      <c r="A295" s="330"/>
      <c r="B295" s="314" t="s">
        <v>375</v>
      </c>
      <c r="C295" s="315">
        <f>SUM(C282:C294)</f>
        <v>39</v>
      </c>
      <c r="D295" s="315">
        <f t="shared" ref="D295:J295" si="41">SUM(D282:D294)</f>
        <v>13</v>
      </c>
      <c r="E295" s="315">
        <f t="shared" si="41"/>
        <v>43</v>
      </c>
      <c r="F295" s="172">
        <f t="shared" si="41"/>
        <v>3192.75</v>
      </c>
      <c r="G295" s="172">
        <f t="shared" si="41"/>
        <v>390</v>
      </c>
      <c r="H295" s="172">
        <f t="shared" si="41"/>
        <v>3870</v>
      </c>
      <c r="I295" s="172">
        <f t="shared" si="41"/>
        <v>2079</v>
      </c>
      <c r="J295" s="172">
        <f t="shared" si="41"/>
        <v>1113.75</v>
      </c>
      <c r="K295" s="232"/>
      <c r="L295" s="232"/>
      <c r="M295" s="233"/>
      <c r="N295" s="233"/>
      <c r="O295" s="233"/>
      <c r="P295" s="233"/>
      <c r="Q295" s="233"/>
    </row>
    <row r="296" spans="1:17" s="253" customFormat="1" ht="25" customHeight="1">
      <c r="A296" s="311" t="s">
        <v>146</v>
      </c>
      <c r="B296" s="312" t="s">
        <v>500</v>
      </c>
      <c r="C296" s="272"/>
      <c r="D296" s="272"/>
      <c r="E296" s="272"/>
      <c r="F296" s="268"/>
      <c r="G296" s="268"/>
      <c r="H296" s="268"/>
      <c r="I296" s="178"/>
      <c r="J296" s="178"/>
      <c r="K296" s="232"/>
      <c r="L296" s="232"/>
      <c r="M296" s="233"/>
      <c r="N296" s="233"/>
      <c r="O296" s="233"/>
      <c r="P296" s="233"/>
      <c r="Q296" s="233"/>
    </row>
    <row r="297" spans="1:17" s="253" customFormat="1" ht="25" customHeight="1">
      <c r="A297" s="313" t="s">
        <v>505</v>
      </c>
      <c r="B297" s="269" t="s">
        <v>466</v>
      </c>
      <c r="C297" s="272">
        <v>15</v>
      </c>
      <c r="D297" s="272">
        <v>1</v>
      </c>
      <c r="E297" s="272">
        <v>1</v>
      </c>
      <c r="F297" s="180">
        <f>I297+J297+K297</f>
        <v>175</v>
      </c>
      <c r="G297" s="268">
        <v>5</v>
      </c>
      <c r="H297" s="268">
        <f>C297*G297</f>
        <v>75</v>
      </c>
      <c r="I297" s="177">
        <f>G297*35</f>
        <v>175</v>
      </c>
      <c r="J297" s="178"/>
      <c r="K297" s="232"/>
      <c r="L297" s="234"/>
      <c r="M297" s="234"/>
      <c r="N297" s="234"/>
      <c r="O297" s="234"/>
      <c r="P297" s="234"/>
      <c r="Q297" s="234"/>
    </row>
    <row r="298" spans="1:17" s="253" customFormat="1" ht="25" customHeight="1">
      <c r="A298" s="313" t="s">
        <v>506</v>
      </c>
      <c r="B298" s="269" t="s">
        <v>650</v>
      </c>
      <c r="C298" s="272">
        <v>15</v>
      </c>
      <c r="D298" s="272">
        <v>1</v>
      </c>
      <c r="E298" s="272">
        <v>1</v>
      </c>
      <c r="F298" s="180">
        <f t="shared" ref="F298:F307" si="42">I298+J298+K298</f>
        <v>175</v>
      </c>
      <c r="G298" s="268">
        <v>5</v>
      </c>
      <c r="H298" s="268">
        <f>C298*G298</f>
        <v>75</v>
      </c>
      <c r="I298" s="177"/>
      <c r="J298" s="177">
        <f>G298*35</f>
        <v>175</v>
      </c>
      <c r="K298" s="232"/>
      <c r="L298" s="235"/>
      <c r="M298" s="235"/>
      <c r="N298" s="235"/>
      <c r="O298" s="235"/>
      <c r="P298" s="235"/>
      <c r="Q298" s="235"/>
    </row>
    <row r="299" spans="1:17" s="253" customFormat="1" ht="25" customHeight="1">
      <c r="A299" s="313" t="s">
        <v>507</v>
      </c>
      <c r="B299" s="269" t="s">
        <v>467</v>
      </c>
      <c r="C299" s="272">
        <v>15</v>
      </c>
      <c r="D299" s="272">
        <v>1</v>
      </c>
      <c r="E299" s="272">
        <v>1</v>
      </c>
      <c r="F299" s="180">
        <f t="shared" si="42"/>
        <v>175</v>
      </c>
      <c r="G299" s="268">
        <v>5</v>
      </c>
      <c r="H299" s="268">
        <f>C299*G299*E299*D299</f>
        <v>75</v>
      </c>
      <c r="I299" s="177">
        <f>G299*35</f>
        <v>175</v>
      </c>
      <c r="J299" s="177"/>
      <c r="K299" s="232"/>
      <c r="L299" s="236"/>
      <c r="M299" s="236"/>
      <c r="N299" s="236"/>
      <c r="O299" s="236"/>
      <c r="P299" s="236"/>
      <c r="Q299" s="236"/>
    </row>
    <row r="300" spans="1:17" s="253" customFormat="1" ht="25" customHeight="1">
      <c r="A300" s="313" t="s">
        <v>508</v>
      </c>
      <c r="B300" s="269" t="s">
        <v>468</v>
      </c>
      <c r="C300" s="272">
        <v>15</v>
      </c>
      <c r="D300" s="272">
        <v>1</v>
      </c>
      <c r="E300" s="272">
        <v>1</v>
      </c>
      <c r="F300" s="180">
        <f t="shared" si="42"/>
        <v>175</v>
      </c>
      <c r="G300" s="268">
        <v>5</v>
      </c>
      <c r="H300" s="268">
        <f t="shared" ref="H300:H307" si="43">C300*G300*E300*D300</f>
        <v>75</v>
      </c>
      <c r="I300" s="178"/>
      <c r="J300" s="177">
        <f>G300*35</f>
        <v>175</v>
      </c>
      <c r="K300" s="232"/>
      <c r="L300" s="232"/>
      <c r="M300" s="1867"/>
      <c r="N300" s="1867"/>
      <c r="O300" s="1867"/>
      <c r="P300" s="1867"/>
      <c r="Q300" s="1867"/>
    </row>
    <row r="301" spans="1:17" s="253" customFormat="1" ht="25" customHeight="1">
      <c r="A301" s="313" t="s">
        <v>509</v>
      </c>
      <c r="B301" s="269" t="s">
        <v>469</v>
      </c>
      <c r="C301" s="272">
        <v>15</v>
      </c>
      <c r="D301" s="272">
        <v>1</v>
      </c>
      <c r="E301" s="272">
        <v>1</v>
      </c>
      <c r="F301" s="180">
        <f t="shared" si="42"/>
        <v>175</v>
      </c>
      <c r="G301" s="268">
        <v>5</v>
      </c>
      <c r="H301" s="268">
        <f t="shared" si="43"/>
        <v>75</v>
      </c>
      <c r="I301" s="178"/>
      <c r="J301" s="177">
        <f>G301*35</f>
        <v>175</v>
      </c>
      <c r="K301" s="232"/>
      <c r="L301" s="232"/>
      <c r="M301" s="233"/>
      <c r="N301" s="233"/>
      <c r="O301" s="233"/>
      <c r="P301" s="233"/>
      <c r="Q301" s="233"/>
    </row>
    <row r="302" spans="1:17" ht="25" customHeight="1">
      <c r="A302" s="313" t="s">
        <v>510</v>
      </c>
      <c r="B302" s="269" t="s">
        <v>501</v>
      </c>
      <c r="C302" s="272">
        <v>15</v>
      </c>
      <c r="D302" s="272">
        <v>1</v>
      </c>
      <c r="E302" s="272">
        <v>1</v>
      </c>
      <c r="F302" s="180">
        <f t="shared" si="42"/>
        <v>175</v>
      </c>
      <c r="G302" s="268">
        <v>5</v>
      </c>
      <c r="H302" s="268">
        <f t="shared" si="43"/>
        <v>75</v>
      </c>
      <c r="I302" s="177">
        <f>G302*35</f>
        <v>175</v>
      </c>
      <c r="J302" s="254"/>
      <c r="K302" s="232"/>
      <c r="L302" s="232"/>
      <c r="M302" s="233"/>
      <c r="N302" s="233"/>
      <c r="O302" s="233"/>
      <c r="P302" s="233"/>
      <c r="Q302" s="233"/>
    </row>
    <row r="303" spans="1:17" ht="25" customHeight="1">
      <c r="A303" s="313" t="s">
        <v>511</v>
      </c>
      <c r="B303" s="269" t="s">
        <v>502</v>
      </c>
      <c r="C303" s="272">
        <v>15</v>
      </c>
      <c r="D303" s="272">
        <v>1</v>
      </c>
      <c r="E303" s="272">
        <v>1</v>
      </c>
      <c r="F303" s="180">
        <f t="shared" si="42"/>
        <v>175</v>
      </c>
      <c r="G303" s="268">
        <v>5</v>
      </c>
      <c r="H303" s="268">
        <f t="shared" si="43"/>
        <v>75</v>
      </c>
      <c r="I303" s="177">
        <f>G303*35</f>
        <v>175</v>
      </c>
      <c r="J303" s="254"/>
      <c r="K303" s="232"/>
      <c r="L303" s="232"/>
      <c r="M303" s="237"/>
      <c r="N303" s="237"/>
      <c r="O303" s="237"/>
      <c r="P303" s="237"/>
      <c r="Q303" s="237"/>
    </row>
    <row r="304" spans="1:17" ht="25" customHeight="1">
      <c r="A304" s="313" t="s">
        <v>512</v>
      </c>
      <c r="B304" s="275" t="s">
        <v>503</v>
      </c>
      <c r="C304" s="272">
        <v>15</v>
      </c>
      <c r="D304" s="272">
        <v>1</v>
      </c>
      <c r="E304" s="272">
        <v>1</v>
      </c>
      <c r="F304" s="180">
        <f t="shared" si="42"/>
        <v>175</v>
      </c>
      <c r="G304" s="268">
        <v>5</v>
      </c>
      <c r="H304" s="268">
        <f t="shared" si="43"/>
        <v>75</v>
      </c>
      <c r="I304" s="177">
        <f>G304*35</f>
        <v>175</v>
      </c>
      <c r="J304" s="255"/>
      <c r="K304" s="232"/>
      <c r="L304" s="232"/>
      <c r="M304" s="237"/>
      <c r="N304" s="237"/>
      <c r="O304" s="237"/>
      <c r="P304" s="237"/>
      <c r="Q304" s="237"/>
    </row>
    <row r="305" spans="1:17" ht="25" customHeight="1">
      <c r="A305" s="313" t="s">
        <v>513</v>
      </c>
      <c r="B305" s="275" t="s">
        <v>504</v>
      </c>
      <c r="C305" s="272">
        <v>15</v>
      </c>
      <c r="D305" s="272">
        <v>1</v>
      </c>
      <c r="E305" s="272">
        <v>1</v>
      </c>
      <c r="F305" s="180">
        <f t="shared" si="42"/>
        <v>175</v>
      </c>
      <c r="G305" s="268">
        <v>5</v>
      </c>
      <c r="H305" s="268">
        <f t="shared" si="43"/>
        <v>75</v>
      </c>
      <c r="I305" s="177">
        <f>G305*35</f>
        <v>175</v>
      </c>
      <c r="J305" s="177"/>
      <c r="K305" s="232"/>
      <c r="L305" s="232"/>
      <c r="M305" s="237"/>
      <c r="N305" s="237"/>
      <c r="O305" s="237"/>
      <c r="P305" s="237"/>
      <c r="Q305" s="237"/>
    </row>
    <row r="306" spans="1:17" ht="25" customHeight="1">
      <c r="A306" s="313" t="s">
        <v>514</v>
      </c>
      <c r="B306" s="275" t="s">
        <v>551</v>
      </c>
      <c r="C306" s="272">
        <v>15</v>
      </c>
      <c r="D306" s="272">
        <v>1</v>
      </c>
      <c r="E306" s="272">
        <v>1</v>
      </c>
      <c r="F306" s="180">
        <f t="shared" si="42"/>
        <v>175</v>
      </c>
      <c r="G306" s="268">
        <v>5</v>
      </c>
      <c r="H306" s="268">
        <f t="shared" si="43"/>
        <v>75</v>
      </c>
      <c r="I306" s="177">
        <f>G306*35</f>
        <v>175</v>
      </c>
      <c r="J306" s="177"/>
      <c r="K306" s="232"/>
      <c r="L306" s="232"/>
      <c r="M306" s="237"/>
      <c r="N306" s="237"/>
      <c r="O306" s="237"/>
      <c r="P306" s="237"/>
      <c r="Q306" s="237"/>
    </row>
    <row r="307" spans="1:17" ht="25" customHeight="1">
      <c r="A307" s="313" t="s">
        <v>651</v>
      </c>
      <c r="B307" s="275" t="s">
        <v>652</v>
      </c>
      <c r="C307" s="272">
        <v>15</v>
      </c>
      <c r="D307" s="272">
        <v>1</v>
      </c>
      <c r="E307" s="272">
        <v>1</v>
      </c>
      <c r="F307" s="180">
        <f t="shared" si="42"/>
        <v>4515</v>
      </c>
      <c r="G307" s="268">
        <v>129</v>
      </c>
      <c r="H307" s="268">
        <f t="shared" si="43"/>
        <v>1935</v>
      </c>
      <c r="I307" s="255"/>
      <c r="J307" s="177"/>
      <c r="K307" s="177">
        <f>G307*35</f>
        <v>4515</v>
      </c>
      <c r="L307" s="232"/>
      <c r="M307" s="237"/>
      <c r="N307" s="237"/>
      <c r="O307" s="237"/>
      <c r="P307" s="237"/>
      <c r="Q307" s="237"/>
    </row>
    <row r="308" spans="1:17" ht="25" customHeight="1">
      <c r="A308" s="313" t="s">
        <v>653</v>
      </c>
      <c r="B308" s="275" t="s">
        <v>654</v>
      </c>
      <c r="C308" s="272">
        <v>15</v>
      </c>
      <c r="D308" s="272">
        <v>1</v>
      </c>
      <c r="E308" s="272">
        <v>1</v>
      </c>
      <c r="F308" s="172">
        <f t="shared" ref="F308:K308" si="44">SUM(F297:F307)</f>
        <v>6265</v>
      </c>
      <c r="G308" s="172">
        <f t="shared" si="44"/>
        <v>179</v>
      </c>
      <c r="H308" s="172">
        <f t="shared" si="44"/>
        <v>2685</v>
      </c>
      <c r="I308" s="172">
        <f t="shared" si="44"/>
        <v>1225</v>
      </c>
      <c r="J308" s="172">
        <f t="shared" si="44"/>
        <v>525</v>
      </c>
      <c r="K308" s="172">
        <f t="shared" si="44"/>
        <v>4515</v>
      </c>
      <c r="L308" s="232"/>
      <c r="M308" s="237"/>
      <c r="N308" s="237"/>
      <c r="O308" s="237"/>
      <c r="P308" s="237"/>
      <c r="Q308" s="237"/>
    </row>
    <row r="309" spans="1:17" ht="25" customHeight="1">
      <c r="A309" s="313" t="s">
        <v>655</v>
      </c>
      <c r="B309" s="275" t="s">
        <v>656</v>
      </c>
      <c r="C309" s="272">
        <v>15</v>
      </c>
      <c r="D309" s="272">
        <v>1</v>
      </c>
      <c r="E309" s="272">
        <v>1</v>
      </c>
      <c r="F309" s="268"/>
      <c r="G309" s="268"/>
      <c r="H309" s="268"/>
      <c r="I309" s="178"/>
      <c r="J309" s="178"/>
      <c r="K309" s="232"/>
      <c r="L309" s="232"/>
      <c r="M309" s="238"/>
      <c r="N309" s="238"/>
      <c r="O309" s="238"/>
      <c r="P309" s="238"/>
      <c r="Q309" s="238"/>
    </row>
    <row r="310" spans="1:17" ht="25" customHeight="1">
      <c r="A310" s="327"/>
      <c r="B310" s="328" t="s">
        <v>657</v>
      </c>
      <c r="C310" s="272">
        <v>15</v>
      </c>
      <c r="D310" s="272">
        <v>1</v>
      </c>
      <c r="E310" s="272">
        <v>1</v>
      </c>
      <c r="F310" s="268"/>
      <c r="G310" s="268"/>
      <c r="H310" s="268"/>
      <c r="I310" s="178"/>
      <c r="J310" s="178"/>
      <c r="K310" s="232"/>
      <c r="L310" s="232"/>
      <c r="M310" s="233"/>
      <c r="N310" s="233"/>
      <c r="O310" s="233"/>
      <c r="P310" s="233"/>
      <c r="Q310" s="233"/>
    </row>
    <row r="311" spans="1:17" ht="25" customHeight="1">
      <c r="A311" s="313"/>
      <c r="B311" s="314" t="s">
        <v>375</v>
      </c>
      <c r="C311" s="315">
        <f>SUM(C297:C310)</f>
        <v>210</v>
      </c>
      <c r="D311" s="315">
        <f>SUM(D297:D310)</f>
        <v>14</v>
      </c>
      <c r="E311" s="315">
        <f>SUM(E297:E310)</f>
        <v>14</v>
      </c>
      <c r="F311" s="180">
        <f>I311+J311+K311</f>
        <v>97020</v>
      </c>
      <c r="G311" s="268">
        <v>11</v>
      </c>
      <c r="H311" s="268">
        <f>C311*D311*E311*G311</f>
        <v>452760</v>
      </c>
      <c r="I311" s="177">
        <f>IF(G311&lt;70, C311*E311*16.5*1*2, C311*E311*16.5*1.3*2)</f>
        <v>97020</v>
      </c>
      <c r="J311" s="178"/>
      <c r="K311" s="232"/>
      <c r="L311" s="232"/>
      <c r="M311" s="233"/>
      <c r="N311" s="233"/>
      <c r="O311" s="233"/>
      <c r="P311" s="233"/>
      <c r="Q311" s="233"/>
    </row>
    <row r="312" spans="1:17" ht="25" customHeight="1">
      <c r="A312" s="316">
        <v>3</v>
      </c>
      <c r="B312" s="316" t="s">
        <v>164</v>
      </c>
      <c r="C312" s="272"/>
      <c r="D312" s="272"/>
      <c r="E312" s="272"/>
      <c r="F312" s="180">
        <f>I312+J312+K312</f>
        <v>0</v>
      </c>
      <c r="G312" s="268">
        <v>11</v>
      </c>
      <c r="H312" s="268">
        <f>C312*D312*E312*G312</f>
        <v>0</v>
      </c>
      <c r="I312" s="177">
        <f>IF(G312&lt;70, C312*E312*16.5*1*2, C312*E312*16.5*1.3*2)</f>
        <v>0</v>
      </c>
      <c r="J312" s="178"/>
      <c r="K312" s="232"/>
      <c r="L312" s="232"/>
      <c r="M312" s="233"/>
      <c r="N312" s="233"/>
      <c r="O312" s="233"/>
      <c r="P312" s="233"/>
      <c r="Q312" s="233"/>
    </row>
    <row r="313" spans="1:17" ht="25" customHeight="1">
      <c r="A313" s="317" t="s">
        <v>145</v>
      </c>
      <c r="B313" s="318" t="s">
        <v>165</v>
      </c>
      <c r="C313" s="272"/>
      <c r="D313" s="272"/>
      <c r="E313" s="272"/>
      <c r="F313" s="180">
        <f>I313+J313+K313</f>
        <v>0</v>
      </c>
      <c r="G313" s="268">
        <v>11</v>
      </c>
      <c r="H313" s="268">
        <f>C313*D313*E313*G313</f>
        <v>0</v>
      </c>
      <c r="I313" s="177">
        <f>IF(G313&lt;70, C313*E313*16.5*1*2, C313*E313*16.5*1.3*2)</f>
        <v>0</v>
      </c>
      <c r="J313" s="178"/>
      <c r="K313" s="232"/>
      <c r="L313" s="232"/>
      <c r="M313" s="233"/>
      <c r="N313" s="233"/>
      <c r="O313" s="233"/>
      <c r="P313" s="233"/>
      <c r="Q313" s="233"/>
    </row>
    <row r="314" spans="1:17" ht="25" customHeight="1">
      <c r="A314" s="269" t="s">
        <v>224</v>
      </c>
      <c r="B314" s="270" t="s">
        <v>470</v>
      </c>
      <c r="C314" s="272">
        <v>3</v>
      </c>
      <c r="D314" s="272">
        <v>1</v>
      </c>
      <c r="E314" s="272">
        <v>1</v>
      </c>
      <c r="F314" s="268"/>
      <c r="G314" s="268"/>
      <c r="H314" s="268"/>
      <c r="I314" s="178"/>
      <c r="J314" s="178"/>
      <c r="K314" s="232"/>
      <c r="L314" s="232"/>
      <c r="M314" s="233"/>
      <c r="N314" s="233"/>
      <c r="O314" s="233"/>
      <c r="P314" s="233"/>
      <c r="Q314" s="233"/>
    </row>
    <row r="315" spans="1:17" ht="25" customHeight="1">
      <c r="A315" s="269" t="s">
        <v>225</v>
      </c>
      <c r="B315" s="270" t="s">
        <v>471</v>
      </c>
      <c r="C315" s="272">
        <v>3</v>
      </c>
      <c r="D315" s="272">
        <v>1</v>
      </c>
      <c r="E315" s="272">
        <v>1</v>
      </c>
      <c r="F315" s="268"/>
      <c r="G315" s="268"/>
      <c r="H315" s="268"/>
      <c r="I315" s="178"/>
      <c r="J315" s="178"/>
      <c r="K315" s="232"/>
      <c r="L315" s="232"/>
      <c r="M315" s="233"/>
      <c r="N315" s="233"/>
      <c r="O315" s="233"/>
      <c r="P315" s="233"/>
      <c r="Q315" s="233"/>
    </row>
    <row r="316" spans="1:17" ht="25" customHeight="1">
      <c r="A316" s="313" t="s">
        <v>472</v>
      </c>
      <c r="B316" s="269" t="s">
        <v>473</v>
      </c>
      <c r="C316" s="272">
        <v>3</v>
      </c>
      <c r="D316" s="272">
        <v>1</v>
      </c>
      <c r="E316" s="272">
        <v>1</v>
      </c>
      <c r="F316" s="268"/>
      <c r="G316" s="268"/>
      <c r="H316" s="268"/>
      <c r="I316" s="178"/>
      <c r="J316" s="178"/>
      <c r="K316" s="232"/>
      <c r="L316" s="232"/>
      <c r="M316" s="233"/>
      <c r="N316" s="233"/>
      <c r="O316" s="233"/>
      <c r="P316" s="233"/>
      <c r="Q316" s="233"/>
    </row>
    <row r="317" spans="1:17" ht="25" customHeight="1">
      <c r="A317" s="311" t="s">
        <v>146</v>
      </c>
      <c r="B317" s="312" t="s">
        <v>166</v>
      </c>
      <c r="C317" s="272"/>
      <c r="D317" s="272"/>
      <c r="E317" s="272"/>
      <c r="F317" s="180">
        <f>I317+J317+K317</f>
        <v>600</v>
      </c>
      <c r="G317" s="268"/>
      <c r="H317" s="268"/>
      <c r="I317" s="178">
        <v>600</v>
      </c>
      <c r="J317" s="178"/>
      <c r="K317" s="232"/>
      <c r="L317" s="232"/>
      <c r="M317" s="233"/>
      <c r="N317" s="233"/>
      <c r="O317" s="233"/>
      <c r="P317" s="233"/>
      <c r="Q317" s="233"/>
    </row>
    <row r="318" spans="1:17" ht="25" customHeight="1">
      <c r="A318" s="311"/>
      <c r="B318" s="312" t="s">
        <v>658</v>
      </c>
      <c r="C318" s="272"/>
      <c r="D318" s="272"/>
      <c r="E318" s="272"/>
      <c r="F318" s="180">
        <f>I318+J318+K318</f>
        <v>300</v>
      </c>
      <c r="G318" s="268"/>
      <c r="H318" s="268"/>
      <c r="I318" s="178"/>
      <c r="J318" s="178">
        <v>300</v>
      </c>
      <c r="K318" s="232"/>
      <c r="L318" s="232"/>
      <c r="M318" s="233"/>
      <c r="N318" s="233"/>
      <c r="O318" s="233"/>
      <c r="P318" s="233"/>
      <c r="Q318" s="233"/>
    </row>
    <row r="319" spans="1:17" ht="25" customHeight="1">
      <c r="A319" s="311"/>
      <c r="B319" s="312" t="s">
        <v>659</v>
      </c>
      <c r="C319" s="272"/>
      <c r="D319" s="272"/>
      <c r="E319" s="272"/>
      <c r="F319" s="268"/>
      <c r="G319" s="268"/>
      <c r="H319" s="268"/>
      <c r="I319" s="178"/>
      <c r="J319" s="178"/>
      <c r="K319" s="232"/>
      <c r="L319" s="232"/>
      <c r="M319" s="233"/>
      <c r="N319" s="233"/>
      <c r="O319" s="233"/>
      <c r="P319" s="233"/>
      <c r="Q319" s="233"/>
    </row>
    <row r="320" spans="1:17" ht="25" customHeight="1">
      <c r="A320" s="311"/>
      <c r="B320" s="312" t="s">
        <v>474</v>
      </c>
      <c r="C320" s="272"/>
      <c r="D320" s="272"/>
      <c r="E320" s="272"/>
      <c r="F320" s="268"/>
      <c r="G320" s="268"/>
      <c r="H320" s="268"/>
      <c r="I320" s="178"/>
      <c r="J320" s="178"/>
      <c r="K320" s="232"/>
      <c r="L320" s="232"/>
      <c r="M320" s="233"/>
      <c r="N320" s="233"/>
      <c r="O320" s="233"/>
      <c r="P320" s="233"/>
      <c r="Q320" s="233"/>
    </row>
    <row r="321" spans="1:17" ht="25" customHeight="1">
      <c r="A321" s="313"/>
      <c r="B321" s="269" t="s">
        <v>475</v>
      </c>
      <c r="C321" s="272"/>
      <c r="D321" s="272"/>
      <c r="E321" s="272"/>
      <c r="F321" s="180">
        <f>I321+J321+K321</f>
        <v>1120</v>
      </c>
      <c r="G321" s="268"/>
      <c r="H321" s="268"/>
      <c r="I321" s="178">
        <v>1120</v>
      </c>
      <c r="J321" s="178"/>
      <c r="K321" s="232"/>
      <c r="L321" s="232"/>
      <c r="M321" s="233"/>
      <c r="N321" s="233"/>
      <c r="O321" s="233"/>
      <c r="P321" s="233"/>
      <c r="Q321" s="233"/>
    </row>
    <row r="322" spans="1:17" ht="25" customHeight="1">
      <c r="A322" s="311" t="s">
        <v>167</v>
      </c>
      <c r="B322" s="312" t="s">
        <v>168</v>
      </c>
      <c r="C322" s="272"/>
      <c r="D322" s="272"/>
      <c r="E322" s="272"/>
      <c r="F322" s="180">
        <f>I322+J322+K322</f>
        <v>680</v>
      </c>
      <c r="G322" s="268"/>
      <c r="H322" s="268"/>
      <c r="I322" s="178"/>
      <c r="J322" s="178">
        <v>680</v>
      </c>
      <c r="K322" s="232"/>
      <c r="L322" s="232"/>
      <c r="M322" s="233"/>
      <c r="N322" s="233"/>
      <c r="O322" s="233"/>
      <c r="P322" s="233"/>
      <c r="Q322" s="233"/>
    </row>
    <row r="323" spans="1:17" ht="25" customHeight="1">
      <c r="A323" s="313"/>
      <c r="B323" s="269" t="s">
        <v>660</v>
      </c>
      <c r="C323" s="272"/>
      <c r="D323" s="272"/>
      <c r="E323" s="272"/>
      <c r="F323" s="268">
        <f>SUM(F311:F322)</f>
        <v>99720</v>
      </c>
      <c r="G323" s="172">
        <f>SUM(G311:G322)</f>
        <v>33</v>
      </c>
      <c r="H323" s="172">
        <f>SUM(H311:H322)</f>
        <v>452760</v>
      </c>
      <c r="I323" s="172">
        <f>SUM(I311:I322)</f>
        <v>98740</v>
      </c>
      <c r="J323" s="172">
        <f>SUM(J311:J322)</f>
        <v>980</v>
      </c>
      <c r="K323" s="232"/>
      <c r="L323" s="232"/>
      <c r="M323" s="233"/>
      <c r="N323" s="233"/>
      <c r="O323" s="233"/>
      <c r="P323" s="233"/>
      <c r="Q323" s="233"/>
    </row>
    <row r="324" spans="1:17" ht="25" customHeight="1">
      <c r="A324" s="313"/>
      <c r="B324" s="269" t="s">
        <v>476</v>
      </c>
      <c r="C324" s="272"/>
      <c r="D324" s="272"/>
      <c r="E324" s="272"/>
      <c r="F324" s="268"/>
      <c r="G324" s="268"/>
      <c r="H324" s="268"/>
      <c r="I324" s="178"/>
      <c r="J324" s="178"/>
      <c r="K324" s="232"/>
      <c r="L324" s="232"/>
      <c r="M324" s="233"/>
      <c r="N324" s="233"/>
      <c r="O324" s="233"/>
      <c r="P324" s="233"/>
      <c r="Q324" s="233"/>
    </row>
    <row r="325" spans="1:17" ht="25" customHeight="1">
      <c r="A325" s="313"/>
      <c r="B325" s="269" t="s">
        <v>475</v>
      </c>
      <c r="C325" s="272"/>
      <c r="D325" s="272"/>
      <c r="E325" s="272"/>
      <c r="F325" s="268"/>
      <c r="G325" s="268"/>
      <c r="H325" s="268"/>
      <c r="I325" s="178"/>
      <c r="J325" s="178"/>
      <c r="K325" s="232"/>
      <c r="L325" s="232"/>
      <c r="M325" s="233"/>
      <c r="N325" s="233"/>
      <c r="O325" s="233"/>
      <c r="P325" s="233"/>
      <c r="Q325" s="233"/>
    </row>
    <row r="326" spans="1:17" ht="25" customHeight="1">
      <c r="A326" s="313"/>
      <c r="B326" s="314" t="s">
        <v>375</v>
      </c>
      <c r="C326" s="315">
        <f>SUM(C314:C325)</f>
        <v>9</v>
      </c>
      <c r="D326" s="315">
        <f>SUM(D314:D325)</f>
        <v>3</v>
      </c>
      <c r="E326" s="315">
        <f>SUM(E314:E325)</f>
        <v>3</v>
      </c>
      <c r="F326" s="268"/>
      <c r="G326" s="268"/>
      <c r="H326" s="268"/>
      <c r="I326" s="178"/>
      <c r="J326" s="178"/>
      <c r="K326" s="232"/>
      <c r="L326" s="232"/>
      <c r="M326" s="233"/>
      <c r="N326" s="233"/>
      <c r="O326" s="233"/>
      <c r="P326" s="233"/>
      <c r="Q326" s="233"/>
    </row>
    <row r="327" spans="1:17" ht="25" customHeight="1">
      <c r="A327" s="277" t="s">
        <v>495</v>
      </c>
      <c r="B327" s="277" t="s">
        <v>496</v>
      </c>
      <c r="C327" s="272"/>
      <c r="D327" s="272"/>
      <c r="E327" s="272"/>
      <c r="F327" s="180">
        <f>I327+J327+K327</f>
        <v>0</v>
      </c>
      <c r="G327" s="186">
        <v>40</v>
      </c>
      <c r="H327" s="268">
        <f>C327*D327*E327*G327</f>
        <v>0</v>
      </c>
      <c r="I327" s="177">
        <f>IF(G327&lt;70, C327*E327*16.5*1, C327*E327*16.5*1.3)</f>
        <v>0</v>
      </c>
      <c r="J327" s="178"/>
      <c r="K327" s="232"/>
      <c r="L327" s="232"/>
      <c r="M327" s="233"/>
      <c r="N327" s="233"/>
      <c r="O327" s="233"/>
      <c r="P327" s="233"/>
      <c r="Q327" s="233"/>
    </row>
    <row r="328" spans="1:17" ht="25" customHeight="1">
      <c r="A328" s="277">
        <v>1</v>
      </c>
      <c r="B328" s="279" t="s">
        <v>223</v>
      </c>
      <c r="C328" s="272"/>
      <c r="D328" s="272"/>
      <c r="E328" s="272"/>
      <c r="F328" s="180">
        <f>I328+J328+K328</f>
        <v>0</v>
      </c>
      <c r="G328" s="186">
        <v>40</v>
      </c>
      <c r="H328" s="268">
        <f>C328*D328*E328*G328</f>
        <v>0</v>
      </c>
      <c r="I328" s="177">
        <f>IF(G328&lt;70, C328*E328*16.5*1, C328*E328*16.5*1.3)</f>
        <v>0</v>
      </c>
      <c r="J328" s="178"/>
      <c r="K328" s="232"/>
      <c r="L328" s="232"/>
      <c r="M328" s="233"/>
      <c r="N328" s="233"/>
      <c r="O328" s="233"/>
      <c r="P328" s="233"/>
      <c r="Q328" s="233"/>
    </row>
    <row r="329" spans="1:17" ht="25" customHeight="1">
      <c r="A329" s="277" t="s">
        <v>376</v>
      </c>
      <c r="B329" s="279" t="s">
        <v>161</v>
      </c>
      <c r="C329" s="272"/>
      <c r="D329" s="272"/>
      <c r="E329" s="272"/>
      <c r="F329" s="268">
        <f>SUM(F327:F328)</f>
        <v>0</v>
      </c>
      <c r="G329" s="172">
        <f>SUM(G327:G328)</f>
        <v>80</v>
      </c>
      <c r="H329" s="172">
        <f>SUM(H327:H328)</f>
        <v>0</v>
      </c>
      <c r="I329" s="172">
        <f>SUM(I327:I328)</f>
        <v>0</v>
      </c>
      <c r="J329" s="172">
        <f>SUM(J327:J328)</f>
        <v>0</v>
      </c>
      <c r="K329" s="232"/>
      <c r="L329" s="232"/>
      <c r="M329" s="233"/>
      <c r="N329" s="233"/>
      <c r="O329" s="233"/>
      <c r="P329" s="233"/>
      <c r="Q329" s="233"/>
    </row>
    <row r="330" spans="1:17" s="339" customFormat="1" ht="25" customHeight="1">
      <c r="A330" s="333" t="s">
        <v>224</v>
      </c>
      <c r="B330" s="331" t="s">
        <v>661</v>
      </c>
      <c r="C330" s="334">
        <v>2</v>
      </c>
      <c r="D330" s="334">
        <v>1</v>
      </c>
      <c r="E330" s="334">
        <v>5</v>
      </c>
      <c r="F330" s="348">
        <f t="shared" ref="F330:K330" si="45">F273+F295+F308+F329+F323</f>
        <v>110522.5</v>
      </c>
      <c r="G330" s="349">
        <f t="shared" si="45"/>
        <v>2041</v>
      </c>
      <c r="H330" s="349">
        <f t="shared" si="45"/>
        <v>463159</v>
      </c>
      <c r="I330" s="349">
        <f t="shared" si="45"/>
        <v>103388.75</v>
      </c>
      <c r="J330" s="349">
        <f t="shared" si="45"/>
        <v>2618.75</v>
      </c>
      <c r="K330" s="349">
        <f t="shared" si="45"/>
        <v>4515</v>
      </c>
      <c r="L330" s="350">
        <f>'Bieu3 QLGD'!F25</f>
        <v>1890</v>
      </c>
      <c r="M330" s="351">
        <f>'Bieu3 QLGD'!N25</f>
        <v>1606.5</v>
      </c>
      <c r="N330" s="351">
        <f>I330-M330</f>
        <v>101782.25</v>
      </c>
      <c r="O330" s="351">
        <f>'Bieu3 QLGD'!O25</f>
        <v>1311.75</v>
      </c>
      <c r="P330" s="351">
        <f>'Bieu3 QLGD'!P25</f>
        <v>680</v>
      </c>
      <c r="Q330" s="351"/>
    </row>
    <row r="331" spans="1:17" s="339" customFormat="1" ht="25" customHeight="1">
      <c r="A331" s="333" t="s">
        <v>224</v>
      </c>
      <c r="B331" s="331" t="s">
        <v>662</v>
      </c>
      <c r="C331" s="334">
        <v>2</v>
      </c>
      <c r="D331" s="334">
        <v>1</v>
      </c>
      <c r="E331" s="334">
        <v>4</v>
      </c>
      <c r="F331" s="352"/>
      <c r="G331" s="353"/>
      <c r="H331" s="353"/>
      <c r="I331" s="353"/>
      <c r="J331" s="353"/>
      <c r="K331" s="353"/>
      <c r="L331" s="354"/>
      <c r="M331" s="338"/>
      <c r="N331" s="338"/>
      <c r="O331" s="338"/>
      <c r="P331" s="338"/>
      <c r="Q331" s="338"/>
    </row>
    <row r="332" spans="1:17" s="339" customFormat="1" ht="25" customHeight="1">
      <c r="A332" s="333" t="s">
        <v>225</v>
      </c>
      <c r="B332" s="331" t="s">
        <v>663</v>
      </c>
      <c r="C332" s="334">
        <v>2</v>
      </c>
      <c r="D332" s="334">
        <v>1</v>
      </c>
      <c r="E332" s="334">
        <v>4</v>
      </c>
      <c r="F332" s="335"/>
      <c r="G332" s="335"/>
      <c r="H332" s="335"/>
      <c r="I332" s="335"/>
      <c r="J332" s="335"/>
      <c r="K332" s="336"/>
      <c r="L332" s="337"/>
      <c r="M332" s="337"/>
      <c r="N332" s="337"/>
      <c r="O332" s="337"/>
      <c r="P332" s="337"/>
      <c r="Q332" s="338"/>
    </row>
    <row r="333" spans="1:17" s="339" customFormat="1" ht="25" customHeight="1">
      <c r="A333" s="333"/>
      <c r="B333" s="340" t="s">
        <v>375</v>
      </c>
      <c r="C333" s="341">
        <f>SUM(C331:C332)</f>
        <v>4</v>
      </c>
      <c r="D333" s="341">
        <f>SUM(D331:D332)</f>
        <v>2</v>
      </c>
      <c r="E333" s="341">
        <f>SUM(E331:E332)</f>
        <v>8</v>
      </c>
      <c r="F333" s="342"/>
      <c r="G333" s="342"/>
      <c r="H333" s="342"/>
      <c r="I333" s="342"/>
      <c r="J333" s="342"/>
      <c r="K333" s="343"/>
      <c r="L333" s="344"/>
      <c r="M333" s="344"/>
      <c r="N333" s="344"/>
      <c r="O333" s="344"/>
      <c r="P333" s="344"/>
      <c r="Q333" s="338"/>
    </row>
    <row r="334" spans="1:17" s="339" customFormat="1" ht="25" customHeight="1">
      <c r="A334" s="333"/>
      <c r="B334" s="340" t="s">
        <v>477</v>
      </c>
      <c r="C334" s="341">
        <f>C273+C295+C311+C333+C326</f>
        <v>330</v>
      </c>
      <c r="D334" s="341">
        <f>D273+D295+D311+D333+D326</f>
        <v>58.6</v>
      </c>
      <c r="E334" s="341">
        <f>E273+E295+E311+E333+E326</f>
        <v>97</v>
      </c>
      <c r="F334" s="342"/>
      <c r="G334" s="342"/>
      <c r="H334" s="342"/>
      <c r="I334" s="342"/>
      <c r="J334" s="342"/>
      <c r="K334" s="343"/>
      <c r="L334" s="344"/>
      <c r="M334" s="344"/>
      <c r="N334" s="344"/>
      <c r="O334" s="344"/>
      <c r="P334" s="344"/>
      <c r="Q334" s="338"/>
    </row>
    <row r="335" spans="1:17" s="339" customFormat="1" ht="25" customHeight="1">
      <c r="A335" s="345"/>
      <c r="B335" s="346"/>
      <c r="C335" s="342"/>
      <c r="D335" s="342"/>
      <c r="E335" s="347"/>
      <c r="F335" s="342"/>
      <c r="G335" s="342"/>
      <c r="H335" s="342"/>
      <c r="I335" s="342"/>
      <c r="J335" s="342"/>
      <c r="K335" s="343"/>
      <c r="L335" s="344"/>
      <c r="M335" s="344"/>
      <c r="N335" s="344"/>
      <c r="O335" s="344"/>
      <c r="P335" s="344"/>
      <c r="Q335" s="338"/>
    </row>
    <row r="336" spans="1:17" ht="25" customHeight="1">
      <c r="A336" s="168" t="s">
        <v>6</v>
      </c>
      <c r="B336" s="168" t="s">
        <v>160</v>
      </c>
      <c r="C336" s="172">
        <f t="shared" ref="C336:K336" si="46">C48+C185+C211+C273+C126</f>
        <v>76</v>
      </c>
      <c r="D336" s="172">
        <f t="shared" si="46"/>
        <v>29.6</v>
      </c>
      <c r="E336" s="172">
        <f t="shared" si="46"/>
        <v>38</v>
      </c>
      <c r="F336" s="172">
        <f t="shared" si="46"/>
        <v>45451.149999999994</v>
      </c>
      <c r="G336" s="172">
        <f t="shared" si="46"/>
        <v>5620</v>
      </c>
      <c r="H336" s="172">
        <f t="shared" si="46"/>
        <v>1371917.36</v>
      </c>
      <c r="I336" s="172">
        <f t="shared" si="46"/>
        <v>45253.149999999994</v>
      </c>
      <c r="J336" s="172">
        <f t="shared" si="46"/>
        <v>198</v>
      </c>
      <c r="K336" s="172">
        <f t="shared" si="46"/>
        <v>0</v>
      </c>
      <c r="L336" s="239" t="e">
        <f>L330+L240+#REF!+L165+L85</f>
        <v>#REF!</v>
      </c>
      <c r="M336" s="239" t="e">
        <f>M330+M240+#REF!+M165+M85</f>
        <v>#REF!</v>
      </c>
      <c r="N336" s="239" t="e">
        <f>N330+N240+#REF!+N165+N85</f>
        <v>#REF!</v>
      </c>
      <c r="O336" s="239" t="e">
        <f>O330+O240+#REF!+O165+O85</f>
        <v>#REF!</v>
      </c>
      <c r="P336" s="239" t="e">
        <f>P330+P240+#REF!+P165+P85</f>
        <v>#REF!</v>
      </c>
      <c r="Q336" s="179"/>
    </row>
    <row r="337" spans="1:17" ht="25" customHeight="1">
      <c r="A337" s="183" t="s">
        <v>7</v>
      </c>
      <c r="B337" s="168" t="s">
        <v>170</v>
      </c>
      <c r="C337" s="172">
        <f t="shared" ref="C337:K337" si="47">C308+C295+C223+C195+C63+C146</f>
        <v>63</v>
      </c>
      <c r="D337" s="172">
        <f t="shared" si="47"/>
        <v>17</v>
      </c>
      <c r="E337" s="172">
        <f t="shared" si="47"/>
        <v>62</v>
      </c>
      <c r="F337" s="172">
        <f t="shared" si="47"/>
        <v>58648.25</v>
      </c>
      <c r="G337" s="172">
        <f t="shared" si="47"/>
        <v>928</v>
      </c>
      <c r="H337" s="172">
        <f t="shared" si="47"/>
        <v>217128</v>
      </c>
      <c r="I337" s="172">
        <f t="shared" si="47"/>
        <v>52494.5</v>
      </c>
      <c r="J337" s="172">
        <f t="shared" si="47"/>
        <v>1638.75</v>
      </c>
      <c r="K337" s="172">
        <f t="shared" si="47"/>
        <v>4515</v>
      </c>
      <c r="L337" s="172">
        <f>L308+L295+L223+L195+L146</f>
        <v>0</v>
      </c>
      <c r="M337" s="172">
        <f>M308+M295+M223+M195+M146</f>
        <v>0</v>
      </c>
      <c r="N337" s="172">
        <f>N308+N295+N223+N195+N146</f>
        <v>0</v>
      </c>
      <c r="O337" s="172">
        <f>O308+O295+O223+O195+O146</f>
        <v>0</v>
      </c>
      <c r="P337" s="172">
        <f>P308+P295+P223+P195+P146</f>
        <v>0</v>
      </c>
      <c r="Q337" s="179"/>
    </row>
    <row r="338" spans="1:17" ht="25" customHeight="1">
      <c r="A338" s="183" t="s">
        <v>24</v>
      </c>
      <c r="B338" s="171" t="s">
        <v>164</v>
      </c>
      <c r="C338" s="172">
        <f t="shared" ref="C338:J338" si="48">C323+C229</f>
        <v>0</v>
      </c>
      <c r="D338" s="172">
        <f t="shared" si="48"/>
        <v>0</v>
      </c>
      <c r="E338" s="172">
        <f t="shared" si="48"/>
        <v>0</v>
      </c>
      <c r="F338" s="172">
        <f t="shared" si="48"/>
        <v>99720</v>
      </c>
      <c r="G338" s="172">
        <f t="shared" si="48"/>
        <v>33</v>
      </c>
      <c r="H338" s="172">
        <f t="shared" si="48"/>
        <v>452760</v>
      </c>
      <c r="I338" s="172">
        <f t="shared" si="48"/>
        <v>98740</v>
      </c>
      <c r="J338" s="172">
        <f t="shared" si="48"/>
        <v>980</v>
      </c>
      <c r="K338" s="172">
        <f t="shared" ref="K338:P338" si="49">K329+K229</f>
        <v>0</v>
      </c>
      <c r="L338" s="172">
        <f t="shared" si="49"/>
        <v>0</v>
      </c>
      <c r="M338" s="172">
        <f t="shared" si="49"/>
        <v>0</v>
      </c>
      <c r="N338" s="172">
        <f t="shared" si="49"/>
        <v>0</v>
      </c>
      <c r="O338" s="172">
        <f t="shared" si="49"/>
        <v>0</v>
      </c>
      <c r="P338" s="172">
        <f t="shared" si="49"/>
        <v>0</v>
      </c>
      <c r="Q338" s="179"/>
    </row>
    <row r="339" spans="1:17" ht="25" customHeight="1">
      <c r="A339" s="183"/>
      <c r="B339" s="171" t="s">
        <v>530</v>
      </c>
      <c r="C339" s="172" t="e">
        <f>C329+C239+#REF!+C164+C83</f>
        <v>#REF!</v>
      </c>
      <c r="D339" s="172" t="e">
        <f>D329+D239+#REF!+D164+D83</f>
        <v>#REF!</v>
      </c>
      <c r="E339" s="172" t="e">
        <f>E329+E239+#REF!+E164+E83</f>
        <v>#REF!</v>
      </c>
      <c r="F339" s="172" t="e">
        <f>F329+F239+#REF!+F164+F83</f>
        <v>#REF!</v>
      </c>
      <c r="G339" s="172" t="e">
        <f>G329+G239+#REF!+G164+G83</f>
        <v>#REF!</v>
      </c>
      <c r="H339" s="172" t="e">
        <f>H329+H239+#REF!+H164+H83</f>
        <v>#REF!</v>
      </c>
      <c r="I339" s="172" t="e">
        <f>I329+I239+#REF!+I164+I83</f>
        <v>#REF!</v>
      </c>
      <c r="J339" s="172" t="e">
        <f>J329+J239+#REF!+J164+J83</f>
        <v>#REF!</v>
      </c>
      <c r="K339" s="172" t="e">
        <f>K329+K239+#REF!+K164+K83</f>
        <v>#REF!</v>
      </c>
      <c r="L339" s="172" t="e">
        <f>L329+L239+#REF!+L164+L83</f>
        <v>#REF!</v>
      </c>
      <c r="M339" s="172" t="e">
        <f>M329+M239+#REF!+M164+M83</f>
        <v>#REF!</v>
      </c>
      <c r="N339" s="172" t="e">
        <f>N329+N239+#REF!+N164+N83</f>
        <v>#REF!</v>
      </c>
      <c r="O339" s="172" t="e">
        <f>O329+O239+#REF!+O164+O83</f>
        <v>#REF!</v>
      </c>
      <c r="P339" s="172" t="e">
        <f>P329+P239+#REF!+P164+P83</f>
        <v>#REF!</v>
      </c>
      <c r="Q339" s="179"/>
    </row>
    <row r="340" spans="1:17" ht="25" customHeight="1">
      <c r="A340" s="183"/>
      <c r="B340" s="171" t="s">
        <v>531</v>
      </c>
      <c r="C340" s="172"/>
      <c r="D340" s="172"/>
      <c r="E340" s="172"/>
      <c r="F340" s="172"/>
      <c r="G340" s="172"/>
      <c r="H340" s="172"/>
      <c r="I340" s="172"/>
      <c r="J340" s="172"/>
      <c r="K340" s="240"/>
      <c r="L340" s="240"/>
      <c r="M340" s="240"/>
      <c r="N340" s="240"/>
      <c r="O340" s="240"/>
      <c r="P340" s="240"/>
      <c r="Q340" s="179"/>
    </row>
    <row r="341" spans="1:17" ht="25" customHeight="1">
      <c r="A341" s="164"/>
      <c r="B341" s="191" t="s">
        <v>479</v>
      </c>
      <c r="C341" s="187" t="e">
        <f>C330+C240+#REF!+C165+C85</f>
        <v>#REF!</v>
      </c>
      <c r="D341" s="187" t="e">
        <f>D330+D240+#REF!+D165+D85</f>
        <v>#REF!</v>
      </c>
      <c r="E341" s="187" t="e">
        <f>E330+E240+#REF!+E165+E85</f>
        <v>#REF!</v>
      </c>
      <c r="F341" s="187" t="e">
        <f>F330+F240+#REF!+F165+F85</f>
        <v>#REF!</v>
      </c>
      <c r="G341" s="187" t="e">
        <f>G330+G240+#REF!+G165+G85</f>
        <v>#REF!</v>
      </c>
      <c r="H341" s="187" t="e">
        <f>H330+H240+#REF!+H165+H85</f>
        <v>#REF!</v>
      </c>
      <c r="I341" s="187" t="e">
        <f>I330+I240+#REF!+I165+I85</f>
        <v>#REF!</v>
      </c>
      <c r="J341" s="187" t="e">
        <f>J330+J240+#REF!+J165+J85</f>
        <v>#REF!</v>
      </c>
      <c r="K341" s="187" t="e">
        <f>K330+K240+#REF!+K165+K85</f>
        <v>#REF!</v>
      </c>
      <c r="L341" s="241" t="e">
        <f>L330+L240+#REF!+L165+L85</f>
        <v>#REF!</v>
      </c>
      <c r="M341" s="242" t="e">
        <f>M330+M240+#REF!+M165+M85</f>
        <v>#REF!</v>
      </c>
      <c r="N341" s="242" t="e">
        <f>N330+N240+#REF!+N165+N85</f>
        <v>#REF!</v>
      </c>
      <c r="O341" s="241" t="e">
        <f>O330+O240+#REF!+O165+O85</f>
        <v>#REF!</v>
      </c>
      <c r="P341" s="241" t="e">
        <f>P330+P240+#REF!+P165+P85</f>
        <v>#REF!</v>
      </c>
      <c r="Q341" s="179"/>
    </row>
    <row r="342" spans="1:17">
      <c r="C342" s="131"/>
      <c r="D342" s="1868" t="s">
        <v>555</v>
      </c>
      <c r="E342" s="1868"/>
      <c r="F342" s="1868"/>
      <c r="G342" s="1868"/>
      <c r="H342" s="1868"/>
      <c r="I342" s="1868"/>
      <c r="J342" s="265" t="e">
        <f>J341+K341</f>
        <v>#REF!</v>
      </c>
      <c r="K342" s="45"/>
      <c r="L342" s="45"/>
      <c r="M342" s="45"/>
      <c r="N342" s="1869" t="s">
        <v>573</v>
      </c>
      <c r="O342" s="1869"/>
      <c r="P342" s="1869"/>
      <c r="Q342" s="1869"/>
    </row>
    <row r="343" spans="1:17" ht="12.75" customHeight="1">
      <c r="A343" s="266"/>
      <c r="B343" s="266"/>
      <c r="C343" s="131"/>
      <c r="D343" s="131"/>
      <c r="E343" s="131"/>
      <c r="F343" s="131"/>
      <c r="G343" s="131"/>
      <c r="H343" s="131"/>
      <c r="I343" s="131"/>
      <c r="J343" s="131"/>
      <c r="K343" s="45"/>
      <c r="L343" s="45"/>
      <c r="M343" s="45"/>
      <c r="N343" s="1848" t="s">
        <v>536</v>
      </c>
      <c r="O343" s="1848"/>
      <c r="P343" s="1848"/>
      <c r="Q343" s="1848"/>
    </row>
    <row r="344" spans="1:17">
      <c r="A344" s="266"/>
      <c r="B344" s="1870" t="s">
        <v>148</v>
      </c>
      <c r="C344" s="1870"/>
      <c r="D344" s="1870"/>
      <c r="E344" s="1870"/>
      <c r="F344" s="1870"/>
      <c r="G344" s="1870"/>
      <c r="H344" s="1870"/>
      <c r="I344" s="1870"/>
      <c r="J344" s="1870"/>
      <c r="K344" s="1870"/>
      <c r="L344" s="45"/>
      <c r="M344" s="45"/>
      <c r="N344" s="45"/>
      <c r="O344" s="45"/>
      <c r="P344" s="45"/>
      <c r="Q344" s="267"/>
    </row>
    <row r="345" spans="1:17" ht="26.25" customHeight="1">
      <c r="A345" s="266"/>
      <c r="B345" s="1871" t="s">
        <v>235</v>
      </c>
      <c r="C345" s="1871"/>
      <c r="D345" s="1871"/>
      <c r="E345" s="1871"/>
      <c r="F345" s="1871"/>
      <c r="G345" s="1871"/>
      <c r="H345" s="1871"/>
      <c r="I345" s="1871"/>
      <c r="J345" s="1871"/>
      <c r="K345" s="1871"/>
      <c r="L345" s="45"/>
      <c r="M345" s="45"/>
      <c r="N345" s="45"/>
      <c r="O345" s="45"/>
      <c r="P345" s="45"/>
      <c r="Q345" s="267"/>
    </row>
    <row r="346" spans="1:17" ht="30" customHeight="1">
      <c r="A346" s="266"/>
      <c r="B346" s="1866" t="s">
        <v>72</v>
      </c>
      <c r="C346" s="1866"/>
      <c r="D346" s="1866"/>
      <c r="E346" s="1866"/>
      <c r="F346" s="1866"/>
      <c r="G346" s="1866"/>
      <c r="H346" s="1866"/>
      <c r="I346" s="1866"/>
      <c r="J346" s="1866"/>
      <c r="K346" s="1866"/>
      <c r="L346" s="45"/>
      <c r="M346" s="45"/>
      <c r="N346" s="1842" t="s">
        <v>537</v>
      </c>
      <c r="O346" s="1842"/>
      <c r="P346" s="1842"/>
      <c r="Q346" s="1842"/>
    </row>
  </sheetData>
  <mergeCells count="30">
    <mergeCell ref="A5:A6"/>
    <mergeCell ref="B5:B6"/>
    <mergeCell ref="C5:C6"/>
    <mergeCell ref="D5:D6"/>
    <mergeCell ref="E5:E6"/>
    <mergeCell ref="A1:C1"/>
    <mergeCell ref="I1:N1"/>
    <mergeCell ref="A2:C2"/>
    <mergeCell ref="I2:N2"/>
    <mergeCell ref="A3:Q3"/>
    <mergeCell ref="Q128:Q134"/>
    <mergeCell ref="F5:F6"/>
    <mergeCell ref="G5:G6"/>
    <mergeCell ref="H5:H6"/>
    <mergeCell ref="I5:K5"/>
    <mergeCell ref="L5:L6"/>
    <mergeCell ref="M5:M6"/>
    <mergeCell ref="N5:N6"/>
    <mergeCell ref="O5:O6"/>
    <mergeCell ref="P5:P6"/>
    <mergeCell ref="Q5:Q6"/>
    <mergeCell ref="Q50:Q52"/>
    <mergeCell ref="B346:K346"/>
    <mergeCell ref="N346:Q346"/>
    <mergeCell ref="M300:Q300"/>
    <mergeCell ref="D342:I342"/>
    <mergeCell ref="N342:Q342"/>
    <mergeCell ref="N343:Q343"/>
    <mergeCell ref="B344:K344"/>
    <mergeCell ref="B345:K345"/>
  </mergeCells>
  <pageMargins left="0.2" right="0.2" top="0.5" bottom="0.42" header="0.62" footer="0.6"/>
  <pageSetup paperSize="9" scale="8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46"/>
  <sheetViews>
    <sheetView zoomScale="125" zoomScaleNormal="125" zoomScalePageLayoutView="125" workbookViewId="0">
      <pane xSplit="2" ySplit="6" topLeftCell="C67" activePane="bottomRight" state="frozen"/>
      <selection pane="topRight" activeCell="C1" sqref="C1"/>
      <selection pane="bottomLeft" activeCell="A7" sqref="A7"/>
      <selection pane="bottomRight" activeCell="G246" sqref="G246"/>
    </sheetView>
  </sheetViews>
  <sheetFormatPr baseColWidth="10" defaultColWidth="9.1640625" defaultRowHeight="13"/>
  <cols>
    <col min="1" max="1" width="5.5" style="256" customWidth="1"/>
    <col min="2" max="2" width="41.1640625" style="256" customWidth="1"/>
    <col min="3" max="3" width="7" style="248" customWidth="1"/>
    <col min="4" max="4" width="7" style="248" hidden="1" customWidth="1"/>
    <col min="5" max="5" width="6" style="248" customWidth="1"/>
    <col min="6" max="6" width="7.5" style="132" customWidth="1"/>
    <col min="7" max="7" width="6.83203125" style="248" customWidth="1"/>
    <col min="8" max="8" width="11.1640625" style="248" customWidth="1"/>
    <col min="9" max="10" width="8.33203125" style="248" customWidth="1"/>
    <col min="11" max="11" width="6.5" style="257" customWidth="1"/>
    <col min="12" max="12" width="7.6640625" style="257" customWidth="1"/>
    <col min="13" max="13" width="9.5" style="257" customWidth="1"/>
    <col min="14" max="14" width="11" style="257" customWidth="1"/>
    <col min="15" max="15" width="6.6640625" style="257" customWidth="1"/>
    <col min="16" max="16" width="9.6640625" style="257" customWidth="1"/>
    <col min="17" max="17" width="12.6640625" style="147" customWidth="1"/>
    <col min="18" max="16384" width="9.1640625" style="147"/>
  </cols>
  <sheetData>
    <row r="1" spans="1:17" ht="14.25" customHeight="1">
      <c r="A1" s="1861" t="s">
        <v>3</v>
      </c>
      <c r="B1" s="1861"/>
      <c r="C1" s="1861"/>
      <c r="D1" s="266"/>
      <c r="E1" s="266"/>
      <c r="F1" s="266"/>
      <c r="G1" s="266"/>
      <c r="H1" s="131"/>
      <c r="I1" s="1842"/>
      <c r="J1" s="1842"/>
      <c r="K1" s="1842"/>
      <c r="L1" s="1842"/>
      <c r="M1" s="1842"/>
      <c r="N1" s="1842"/>
      <c r="O1" s="46"/>
      <c r="P1" s="46"/>
      <c r="Q1" s="249" t="s">
        <v>29</v>
      </c>
    </row>
    <row r="2" spans="1:17">
      <c r="A2" s="1862" t="s">
        <v>521</v>
      </c>
      <c r="B2" s="1862"/>
      <c r="C2" s="1862"/>
      <c r="D2" s="267"/>
      <c r="E2" s="267"/>
      <c r="F2" s="266"/>
      <c r="G2" s="267"/>
      <c r="H2" s="131"/>
      <c r="I2" s="1842"/>
      <c r="J2" s="1842"/>
      <c r="K2" s="1842"/>
      <c r="L2" s="1842"/>
      <c r="M2" s="1842"/>
      <c r="N2" s="1842"/>
      <c r="O2" s="46"/>
      <c r="P2" s="46"/>
      <c r="Q2" s="46"/>
    </row>
    <row r="3" spans="1:17" ht="30" customHeight="1">
      <c r="A3" s="1878" t="s">
        <v>574</v>
      </c>
      <c r="B3" s="1878"/>
      <c r="C3" s="1878"/>
      <c r="D3" s="1878"/>
      <c r="E3" s="1878"/>
      <c r="F3" s="1878"/>
      <c r="G3" s="1878"/>
      <c r="H3" s="1878"/>
      <c r="I3" s="1878"/>
      <c r="J3" s="1878"/>
      <c r="K3" s="1878"/>
      <c r="L3" s="1878"/>
      <c r="M3" s="1878"/>
      <c r="N3" s="1878"/>
      <c r="O3" s="1878"/>
      <c r="P3" s="1878"/>
      <c r="Q3" s="1878"/>
    </row>
    <row r="4" spans="1:17">
      <c r="A4" s="52"/>
      <c r="B4" s="52"/>
      <c r="C4" s="53"/>
      <c r="D4" s="53"/>
      <c r="E4" s="53"/>
      <c r="F4" s="53"/>
      <c r="G4" s="53"/>
      <c r="H4" s="53"/>
      <c r="I4" s="53"/>
      <c r="J4" s="53"/>
      <c r="K4" s="52"/>
      <c r="L4" s="52"/>
      <c r="M4" s="52"/>
      <c r="N4" s="52" t="s">
        <v>19</v>
      </c>
      <c r="O4" s="52"/>
      <c r="P4" s="52"/>
      <c r="Q4" s="53"/>
    </row>
    <row r="5" spans="1:17" ht="133.5" customHeight="1">
      <c r="A5" s="1879" t="s">
        <v>0</v>
      </c>
      <c r="B5" s="1873" t="s">
        <v>169</v>
      </c>
      <c r="C5" s="1873" t="s">
        <v>202</v>
      </c>
      <c r="D5" s="1873" t="s">
        <v>203</v>
      </c>
      <c r="E5" s="1873" t="s">
        <v>150</v>
      </c>
      <c r="F5" s="1873" t="s">
        <v>157</v>
      </c>
      <c r="G5" s="1873" t="s">
        <v>206</v>
      </c>
      <c r="H5" s="1873" t="s">
        <v>205</v>
      </c>
      <c r="I5" s="1875" t="s">
        <v>207</v>
      </c>
      <c r="J5" s="1876"/>
      <c r="K5" s="1877"/>
      <c r="L5" s="1873" t="s">
        <v>208</v>
      </c>
      <c r="M5" s="1873" t="s">
        <v>209</v>
      </c>
      <c r="N5" s="1873" t="s">
        <v>38</v>
      </c>
      <c r="O5" s="1873" t="s">
        <v>84</v>
      </c>
      <c r="P5" s="1873" t="s">
        <v>85</v>
      </c>
      <c r="Q5" s="1873" t="s">
        <v>2</v>
      </c>
    </row>
    <row r="6" spans="1:17" ht="50" customHeight="1">
      <c r="A6" s="1880"/>
      <c r="B6" s="1874"/>
      <c r="C6" s="1874"/>
      <c r="D6" s="1874"/>
      <c r="E6" s="1874"/>
      <c r="F6" s="1874"/>
      <c r="G6" s="1874"/>
      <c r="H6" s="1874"/>
      <c r="I6" s="146" t="s">
        <v>158</v>
      </c>
      <c r="J6" s="146" t="s">
        <v>99</v>
      </c>
      <c r="K6" s="146" t="s">
        <v>156</v>
      </c>
      <c r="L6" s="1874"/>
      <c r="M6" s="1874"/>
      <c r="N6" s="1874"/>
      <c r="O6" s="1874"/>
      <c r="P6" s="1874"/>
      <c r="Q6" s="1874"/>
    </row>
    <row r="7" spans="1:17" s="250" customFormat="1" ht="30" customHeight="1">
      <c r="A7" s="149" t="s">
        <v>113</v>
      </c>
      <c r="B7" s="150" t="s">
        <v>114</v>
      </c>
      <c r="C7" s="150" t="s">
        <v>115</v>
      </c>
      <c r="D7" s="151" t="s">
        <v>116</v>
      </c>
      <c r="E7" s="151" t="s">
        <v>116</v>
      </c>
      <c r="F7" s="151" t="s">
        <v>117</v>
      </c>
      <c r="G7" s="151" t="s">
        <v>118</v>
      </c>
      <c r="H7" s="151" t="s">
        <v>580</v>
      </c>
      <c r="I7" s="151" t="s">
        <v>121</v>
      </c>
      <c r="J7" s="151" t="s">
        <v>123</v>
      </c>
      <c r="K7" s="151" t="s">
        <v>132</v>
      </c>
      <c r="L7" s="151" t="s">
        <v>124</v>
      </c>
      <c r="M7" s="151" t="s">
        <v>125</v>
      </c>
      <c r="N7" s="151" t="s">
        <v>126</v>
      </c>
      <c r="O7" s="152" t="s">
        <v>127</v>
      </c>
      <c r="P7" s="152" t="s">
        <v>128</v>
      </c>
      <c r="Q7" s="151" t="s">
        <v>204</v>
      </c>
    </row>
    <row r="8" spans="1:17" ht="25" customHeight="1">
      <c r="A8" s="157" t="s">
        <v>5</v>
      </c>
      <c r="B8" s="157" t="s">
        <v>292</v>
      </c>
      <c r="C8" s="158"/>
      <c r="D8" s="158"/>
      <c r="E8" s="158"/>
      <c r="F8" s="243"/>
      <c r="G8" s="158"/>
      <c r="H8" s="158"/>
      <c r="I8" s="158"/>
      <c r="J8" s="158"/>
      <c r="K8" s="157"/>
      <c r="L8" s="157"/>
      <c r="M8" s="157"/>
      <c r="N8" s="157"/>
      <c r="O8" s="157"/>
      <c r="P8" s="157"/>
      <c r="Q8" s="157"/>
    </row>
    <row r="9" spans="1:17" ht="25" customHeight="1">
      <c r="A9" s="168" t="s">
        <v>6</v>
      </c>
      <c r="B9" s="168" t="s">
        <v>575</v>
      </c>
      <c r="C9" s="169"/>
      <c r="D9" s="169"/>
      <c r="E9" s="169"/>
      <c r="F9" s="244"/>
      <c r="G9" s="169"/>
      <c r="H9" s="169"/>
      <c r="I9" s="169"/>
      <c r="J9" s="169"/>
      <c r="K9" s="168"/>
      <c r="L9" s="168"/>
      <c r="M9" s="168"/>
      <c r="N9" s="168"/>
      <c r="O9" s="168"/>
      <c r="P9" s="168"/>
      <c r="Q9" s="168"/>
    </row>
    <row r="10" spans="1:17" ht="25" customHeight="1">
      <c r="A10" s="168">
        <v>1</v>
      </c>
      <c r="B10" s="168" t="s">
        <v>4</v>
      </c>
      <c r="C10" s="169"/>
      <c r="D10" s="169"/>
      <c r="E10" s="169"/>
      <c r="F10" s="244"/>
      <c r="G10" s="169"/>
      <c r="H10" s="169"/>
      <c r="I10" s="169"/>
      <c r="J10" s="169"/>
      <c r="K10" s="168"/>
      <c r="L10" s="168"/>
      <c r="M10" s="168"/>
      <c r="N10" s="168"/>
      <c r="O10" s="168"/>
      <c r="P10" s="168"/>
      <c r="Q10" s="168"/>
    </row>
    <row r="11" spans="1:17" s="50" customFormat="1" ht="25" customHeight="1">
      <c r="A11" s="170" t="s">
        <v>145</v>
      </c>
      <c r="B11" s="171" t="s">
        <v>159</v>
      </c>
      <c r="C11" s="172"/>
      <c r="D11" s="172"/>
      <c r="E11" s="172"/>
      <c r="F11" s="268"/>
      <c r="G11" s="172"/>
      <c r="H11" s="172"/>
      <c r="I11" s="173"/>
      <c r="J11" s="173"/>
      <c r="K11" s="173"/>
      <c r="L11" s="173"/>
      <c r="M11" s="173"/>
      <c r="N11" s="173"/>
      <c r="O11" s="173"/>
      <c r="P11" s="173"/>
      <c r="Q11" s="174"/>
    </row>
    <row r="12" spans="1:17" s="50" customFormat="1" ht="25" customHeight="1">
      <c r="A12" s="269" t="s">
        <v>224</v>
      </c>
      <c r="B12" s="296" t="s">
        <v>248</v>
      </c>
      <c r="C12" s="272">
        <v>2</v>
      </c>
      <c r="D12" s="297">
        <v>1</v>
      </c>
      <c r="E12" s="272">
        <v>1</v>
      </c>
      <c r="F12" s="180">
        <f>I12+J12+K12</f>
        <v>33</v>
      </c>
      <c r="G12" s="268">
        <v>40</v>
      </c>
      <c r="H12" s="268">
        <f>C12*D12*E12*G12</f>
        <v>80</v>
      </c>
      <c r="I12" s="177">
        <f>IF(G12&lt;70, C12*E12*16.5*1, C12*E12*16.5*1.3)</f>
        <v>33</v>
      </c>
      <c r="J12" s="173"/>
      <c r="K12" s="173"/>
      <c r="L12" s="173"/>
      <c r="M12" s="173"/>
      <c r="N12" s="173"/>
      <c r="O12" s="173"/>
      <c r="P12" s="173"/>
      <c r="Q12" s="174"/>
    </row>
    <row r="13" spans="1:17" s="50" customFormat="1" ht="25" customHeight="1">
      <c r="A13" s="269" t="s">
        <v>225</v>
      </c>
      <c r="B13" s="296" t="s">
        <v>619</v>
      </c>
      <c r="C13" s="272">
        <v>1</v>
      </c>
      <c r="D13" s="272">
        <v>1.4</v>
      </c>
      <c r="E13" s="272">
        <v>14</v>
      </c>
      <c r="F13" s="180">
        <f>I13+J13+K13</f>
        <v>231</v>
      </c>
      <c r="G13" s="268">
        <v>20</v>
      </c>
      <c r="H13" s="268">
        <f t="shared" ref="H13:H44" si="0">C13*D13*E13*G13</f>
        <v>391.99999999999994</v>
      </c>
      <c r="I13" s="177">
        <f t="shared" ref="I13:I45" si="1">IF(G13&lt;70, C13*E13*16.5*1, C13*E13*16.5*1.3)</f>
        <v>231</v>
      </c>
      <c r="J13" s="173"/>
      <c r="K13" s="173"/>
      <c r="L13" s="173"/>
      <c r="M13" s="173"/>
      <c r="N13" s="173"/>
      <c r="O13" s="173"/>
      <c r="P13" s="173"/>
      <c r="Q13" s="174"/>
    </row>
    <row r="14" spans="1:17" s="50" customFormat="1" ht="25" customHeight="1">
      <c r="A14" s="269" t="s">
        <v>226</v>
      </c>
      <c r="B14" s="296" t="s">
        <v>249</v>
      </c>
      <c r="C14" s="272">
        <v>2</v>
      </c>
      <c r="D14" s="272">
        <v>1</v>
      </c>
      <c r="E14" s="272">
        <v>1</v>
      </c>
      <c r="F14" s="180">
        <f t="shared" ref="F14:F46" si="2">I14+J14+K14</f>
        <v>42.9</v>
      </c>
      <c r="G14" s="268">
        <v>80</v>
      </c>
      <c r="H14" s="268">
        <f t="shared" si="0"/>
        <v>160</v>
      </c>
      <c r="I14" s="177">
        <f t="shared" si="1"/>
        <v>42.9</v>
      </c>
      <c r="J14" s="173"/>
      <c r="K14" s="173"/>
      <c r="L14" s="173"/>
      <c r="M14" s="173"/>
      <c r="N14" s="173"/>
      <c r="O14" s="173"/>
      <c r="P14" s="173"/>
      <c r="Q14" s="174"/>
    </row>
    <row r="15" spans="1:17" s="50" customFormat="1" ht="25" customHeight="1">
      <c r="A15" s="269" t="s">
        <v>227</v>
      </c>
      <c r="B15" s="296" t="s">
        <v>620</v>
      </c>
      <c r="C15" s="272">
        <v>2</v>
      </c>
      <c r="D15" s="272">
        <v>1</v>
      </c>
      <c r="E15" s="272">
        <v>3</v>
      </c>
      <c r="F15" s="180">
        <f t="shared" si="2"/>
        <v>128.70000000000002</v>
      </c>
      <c r="G15" s="268">
        <v>70</v>
      </c>
      <c r="H15" s="268">
        <f t="shared" si="0"/>
        <v>420</v>
      </c>
      <c r="I15" s="177">
        <f t="shared" si="1"/>
        <v>128.70000000000002</v>
      </c>
      <c r="J15" s="173"/>
      <c r="K15" s="173"/>
      <c r="L15" s="173"/>
      <c r="M15" s="173"/>
      <c r="N15" s="173"/>
      <c r="O15" s="173"/>
      <c r="P15" s="173"/>
      <c r="Q15" s="174"/>
    </row>
    <row r="16" spans="1:17" s="50" customFormat="1" ht="25" customHeight="1">
      <c r="A16" s="269" t="s">
        <v>228</v>
      </c>
      <c r="B16" s="298" t="s">
        <v>621</v>
      </c>
      <c r="C16" s="272">
        <v>2</v>
      </c>
      <c r="D16" s="272">
        <v>1</v>
      </c>
      <c r="E16" s="272">
        <v>3</v>
      </c>
      <c r="F16" s="180">
        <f t="shared" si="2"/>
        <v>128.70000000000002</v>
      </c>
      <c r="G16" s="268">
        <v>70</v>
      </c>
      <c r="H16" s="268">
        <f t="shared" si="0"/>
        <v>420</v>
      </c>
      <c r="I16" s="177">
        <f t="shared" si="1"/>
        <v>128.70000000000002</v>
      </c>
      <c r="J16" s="173"/>
      <c r="K16" s="173"/>
      <c r="L16" s="173"/>
      <c r="M16" s="173"/>
      <c r="N16" s="173"/>
      <c r="O16" s="173"/>
      <c r="P16" s="173"/>
      <c r="Q16" s="174"/>
    </row>
    <row r="17" spans="1:17" s="50" customFormat="1" ht="25" customHeight="1">
      <c r="A17" s="269" t="s">
        <v>229</v>
      </c>
      <c r="B17" s="296" t="s">
        <v>257</v>
      </c>
      <c r="C17" s="272">
        <v>5</v>
      </c>
      <c r="D17" s="272">
        <v>1</v>
      </c>
      <c r="E17" s="272">
        <v>4</v>
      </c>
      <c r="F17" s="180">
        <f t="shared" si="2"/>
        <v>429</v>
      </c>
      <c r="G17" s="268">
        <v>70</v>
      </c>
      <c r="H17" s="268">
        <f t="shared" si="0"/>
        <v>1400</v>
      </c>
      <c r="I17" s="177">
        <f t="shared" si="1"/>
        <v>429</v>
      </c>
      <c r="J17" s="173"/>
      <c r="K17" s="173"/>
      <c r="L17" s="173"/>
      <c r="M17" s="173"/>
      <c r="N17" s="173"/>
      <c r="O17" s="173"/>
      <c r="P17" s="173"/>
      <c r="Q17" s="174"/>
    </row>
    <row r="18" spans="1:17" s="50" customFormat="1" ht="25" customHeight="1">
      <c r="A18" s="269" t="s">
        <v>280</v>
      </c>
      <c r="B18" s="296" t="s">
        <v>247</v>
      </c>
      <c r="C18" s="271">
        <v>2</v>
      </c>
      <c r="D18" s="297">
        <v>1</v>
      </c>
      <c r="E18" s="271">
        <v>1</v>
      </c>
      <c r="F18" s="180">
        <f t="shared" si="2"/>
        <v>33</v>
      </c>
      <c r="G18" s="177">
        <v>40</v>
      </c>
      <c r="H18" s="268">
        <f t="shared" si="0"/>
        <v>80</v>
      </c>
      <c r="I18" s="177">
        <f t="shared" si="1"/>
        <v>33</v>
      </c>
      <c r="J18" s="173"/>
      <c r="K18" s="173"/>
      <c r="L18" s="173"/>
      <c r="M18" s="173"/>
      <c r="N18" s="173"/>
      <c r="O18" s="173"/>
      <c r="P18" s="173"/>
      <c r="Q18" s="174"/>
    </row>
    <row r="19" spans="1:17" s="50" customFormat="1" ht="25" customHeight="1">
      <c r="A19" s="269" t="s">
        <v>281</v>
      </c>
      <c r="B19" s="298" t="s">
        <v>622</v>
      </c>
      <c r="C19" s="272">
        <v>2</v>
      </c>
      <c r="D19" s="272">
        <v>1</v>
      </c>
      <c r="E19" s="272">
        <v>2</v>
      </c>
      <c r="F19" s="180">
        <f t="shared" si="2"/>
        <v>85.8</v>
      </c>
      <c r="G19" s="268">
        <v>80</v>
      </c>
      <c r="H19" s="268">
        <f t="shared" si="0"/>
        <v>320</v>
      </c>
      <c r="I19" s="177">
        <f t="shared" si="1"/>
        <v>85.8</v>
      </c>
      <c r="J19" s="173"/>
      <c r="K19" s="173"/>
      <c r="L19" s="173"/>
      <c r="M19" s="173"/>
      <c r="N19" s="173"/>
      <c r="O19" s="173"/>
      <c r="P19" s="173"/>
      <c r="Q19" s="174"/>
    </row>
    <row r="20" spans="1:17" s="50" customFormat="1" ht="25" customHeight="1">
      <c r="A20" s="269" t="s">
        <v>282</v>
      </c>
      <c r="B20" s="296" t="s">
        <v>623</v>
      </c>
      <c r="C20" s="272">
        <v>1</v>
      </c>
      <c r="D20" s="272">
        <v>1.4</v>
      </c>
      <c r="E20" s="272">
        <v>6</v>
      </c>
      <c r="F20" s="180">
        <f t="shared" si="2"/>
        <v>99</v>
      </c>
      <c r="G20" s="268">
        <v>20</v>
      </c>
      <c r="H20" s="268">
        <f t="shared" si="0"/>
        <v>167.99999999999997</v>
      </c>
      <c r="I20" s="177">
        <f t="shared" si="1"/>
        <v>99</v>
      </c>
      <c r="J20" s="173"/>
      <c r="K20" s="173"/>
      <c r="L20" s="173"/>
      <c r="M20" s="173"/>
      <c r="N20" s="173"/>
      <c r="O20" s="173"/>
      <c r="P20" s="173"/>
      <c r="Q20" s="174"/>
    </row>
    <row r="21" spans="1:17" s="50" customFormat="1" ht="25" customHeight="1">
      <c r="A21" s="269" t="s">
        <v>283</v>
      </c>
      <c r="B21" s="296" t="s">
        <v>624</v>
      </c>
      <c r="C21" s="272">
        <v>3</v>
      </c>
      <c r="D21" s="272">
        <v>1</v>
      </c>
      <c r="E21" s="272">
        <v>2</v>
      </c>
      <c r="F21" s="180">
        <f t="shared" si="2"/>
        <v>128.70000000000002</v>
      </c>
      <c r="G21" s="268">
        <v>80</v>
      </c>
      <c r="H21" s="268">
        <f t="shared" si="0"/>
        <v>480</v>
      </c>
      <c r="I21" s="177">
        <f t="shared" si="1"/>
        <v>128.70000000000002</v>
      </c>
      <c r="J21" s="178"/>
      <c r="K21" s="178"/>
      <c r="L21" s="178"/>
      <c r="M21" s="178"/>
      <c r="N21" s="178"/>
      <c r="O21" s="178"/>
      <c r="P21" s="178"/>
      <c r="Q21" s="179"/>
    </row>
    <row r="22" spans="1:17" s="50" customFormat="1" ht="25" customHeight="1">
      <c r="A22" s="269" t="s">
        <v>284</v>
      </c>
      <c r="B22" s="296" t="s">
        <v>250</v>
      </c>
      <c r="C22" s="272">
        <v>2</v>
      </c>
      <c r="D22" s="272">
        <v>1</v>
      </c>
      <c r="E22" s="272">
        <v>1</v>
      </c>
      <c r="F22" s="180">
        <f t="shared" si="2"/>
        <v>33</v>
      </c>
      <c r="G22" s="268">
        <v>40</v>
      </c>
      <c r="H22" s="268">
        <f t="shared" si="0"/>
        <v>80</v>
      </c>
      <c r="I22" s="177">
        <f t="shared" si="1"/>
        <v>33</v>
      </c>
      <c r="J22" s="178"/>
      <c r="K22" s="178"/>
      <c r="L22" s="178"/>
      <c r="M22" s="178"/>
      <c r="N22" s="178"/>
      <c r="O22" s="178"/>
      <c r="P22" s="178"/>
      <c r="Q22" s="179"/>
    </row>
    <row r="23" spans="1:17" s="50" customFormat="1" ht="25" customHeight="1">
      <c r="A23" s="269" t="s">
        <v>287</v>
      </c>
      <c r="B23" s="296" t="s">
        <v>251</v>
      </c>
      <c r="C23" s="272">
        <v>2</v>
      </c>
      <c r="D23" s="272">
        <v>1</v>
      </c>
      <c r="E23" s="272">
        <v>1</v>
      </c>
      <c r="F23" s="180">
        <f t="shared" si="2"/>
        <v>33</v>
      </c>
      <c r="G23" s="268">
        <v>40</v>
      </c>
      <c r="H23" s="268">
        <f t="shared" si="0"/>
        <v>80</v>
      </c>
      <c r="I23" s="177">
        <f t="shared" si="1"/>
        <v>33</v>
      </c>
      <c r="J23" s="178"/>
      <c r="K23" s="178"/>
      <c r="L23" s="178"/>
      <c r="M23" s="178"/>
      <c r="N23" s="178"/>
      <c r="O23" s="178"/>
      <c r="P23" s="178"/>
      <c r="Q23" s="179"/>
    </row>
    <row r="24" spans="1:17" s="50" customFormat="1" ht="25" customHeight="1">
      <c r="A24" s="269" t="s">
        <v>288</v>
      </c>
      <c r="B24" s="296" t="s">
        <v>252</v>
      </c>
      <c r="C24" s="272">
        <v>4</v>
      </c>
      <c r="D24" s="272">
        <v>1.4</v>
      </c>
      <c r="E24" s="272">
        <v>6</v>
      </c>
      <c r="F24" s="180">
        <f t="shared" si="2"/>
        <v>240</v>
      </c>
      <c r="G24" s="268">
        <v>20</v>
      </c>
      <c r="H24" s="268">
        <f t="shared" si="0"/>
        <v>671.99999999999989</v>
      </c>
      <c r="I24" s="177">
        <f>E24*G24*2</f>
        <v>240</v>
      </c>
      <c r="J24" s="178"/>
      <c r="K24" s="178"/>
      <c r="L24" s="178"/>
      <c r="M24" s="178"/>
      <c r="N24" s="178"/>
      <c r="O24" s="178"/>
      <c r="P24" s="178"/>
      <c r="Q24" s="179"/>
    </row>
    <row r="25" spans="1:17" s="50" customFormat="1" ht="25" customHeight="1">
      <c r="A25" s="269" t="s">
        <v>289</v>
      </c>
      <c r="B25" s="296" t="s">
        <v>253</v>
      </c>
      <c r="C25" s="272">
        <v>3</v>
      </c>
      <c r="D25" s="272">
        <v>1.3</v>
      </c>
      <c r="E25" s="272">
        <v>7</v>
      </c>
      <c r="F25" s="180">
        <f t="shared" si="2"/>
        <v>346.5</v>
      </c>
      <c r="G25" s="268">
        <v>20</v>
      </c>
      <c r="H25" s="268">
        <f t="shared" si="0"/>
        <v>546.00000000000011</v>
      </c>
      <c r="I25" s="177">
        <f t="shared" si="1"/>
        <v>346.5</v>
      </c>
      <c r="J25" s="178"/>
      <c r="K25" s="178"/>
      <c r="L25" s="178"/>
      <c r="M25" s="178"/>
      <c r="N25" s="178"/>
      <c r="O25" s="178"/>
      <c r="P25" s="178"/>
      <c r="Q25" s="179"/>
    </row>
    <row r="26" spans="1:17" s="50" customFormat="1" ht="25" customHeight="1">
      <c r="A26" s="269" t="s">
        <v>290</v>
      </c>
      <c r="B26" s="296" t="s">
        <v>254</v>
      </c>
      <c r="C26" s="272">
        <v>3</v>
      </c>
      <c r="D26" s="272">
        <v>1</v>
      </c>
      <c r="E26" s="272">
        <v>2</v>
      </c>
      <c r="F26" s="180">
        <f t="shared" si="2"/>
        <v>128.70000000000002</v>
      </c>
      <c r="G26" s="268">
        <v>70</v>
      </c>
      <c r="H26" s="268">
        <f t="shared" si="0"/>
        <v>420</v>
      </c>
      <c r="I26" s="177">
        <f t="shared" si="1"/>
        <v>128.70000000000002</v>
      </c>
      <c r="J26" s="178"/>
      <c r="K26" s="178"/>
      <c r="L26" s="178"/>
      <c r="M26" s="178"/>
      <c r="N26" s="178"/>
      <c r="O26" s="178"/>
      <c r="P26" s="178"/>
      <c r="Q26" s="179"/>
    </row>
    <row r="27" spans="1:17" s="50" customFormat="1" ht="25" customHeight="1">
      <c r="A27" s="269" t="s">
        <v>389</v>
      </c>
      <c r="B27" s="299" t="s">
        <v>625</v>
      </c>
      <c r="C27" s="272">
        <v>3</v>
      </c>
      <c r="D27" s="272">
        <v>1</v>
      </c>
      <c r="E27" s="272">
        <v>4</v>
      </c>
      <c r="F27" s="180">
        <f t="shared" si="2"/>
        <v>257.40000000000003</v>
      </c>
      <c r="G27" s="268">
        <v>70</v>
      </c>
      <c r="H27" s="268">
        <f t="shared" si="0"/>
        <v>840</v>
      </c>
      <c r="I27" s="177">
        <f t="shared" si="1"/>
        <v>257.40000000000003</v>
      </c>
      <c r="J27" s="178"/>
      <c r="K27" s="178"/>
      <c r="L27" s="178"/>
      <c r="M27" s="178"/>
      <c r="N27" s="178"/>
      <c r="O27" s="178"/>
      <c r="P27" s="178"/>
      <c r="Q27" s="179"/>
    </row>
    <row r="28" spans="1:17" s="50" customFormat="1" ht="25" customHeight="1">
      <c r="A28" s="269" t="s">
        <v>390</v>
      </c>
      <c r="B28" s="296" t="s">
        <v>626</v>
      </c>
      <c r="C28" s="272">
        <v>5</v>
      </c>
      <c r="D28" s="272">
        <v>1.4</v>
      </c>
      <c r="E28" s="272">
        <v>6</v>
      </c>
      <c r="F28" s="180">
        <f t="shared" si="2"/>
        <v>495</v>
      </c>
      <c r="G28" s="268">
        <v>45</v>
      </c>
      <c r="H28" s="268">
        <f t="shared" si="0"/>
        <v>1890</v>
      </c>
      <c r="I28" s="177">
        <f t="shared" si="1"/>
        <v>495</v>
      </c>
      <c r="J28" s="178"/>
      <c r="K28" s="178"/>
      <c r="L28" s="178"/>
      <c r="M28" s="178"/>
      <c r="N28" s="178"/>
      <c r="O28" s="178"/>
      <c r="P28" s="178"/>
      <c r="Q28" s="179"/>
    </row>
    <row r="29" spans="1:17" s="50" customFormat="1" ht="25" customHeight="1">
      <c r="A29" s="269" t="s">
        <v>391</v>
      </c>
      <c r="B29" s="296" t="s">
        <v>258</v>
      </c>
      <c r="C29" s="272">
        <v>2</v>
      </c>
      <c r="D29" s="272">
        <v>1</v>
      </c>
      <c r="E29" s="272">
        <v>4</v>
      </c>
      <c r="F29" s="180">
        <f t="shared" si="2"/>
        <v>132</v>
      </c>
      <c r="G29" s="268">
        <v>40</v>
      </c>
      <c r="H29" s="268">
        <f t="shared" si="0"/>
        <v>320</v>
      </c>
      <c r="I29" s="177">
        <f t="shared" si="1"/>
        <v>132</v>
      </c>
      <c r="J29" s="178"/>
      <c r="K29" s="178"/>
      <c r="L29" s="178"/>
      <c r="M29" s="178"/>
      <c r="N29" s="178"/>
      <c r="O29" s="178"/>
      <c r="P29" s="178"/>
      <c r="Q29" s="179"/>
    </row>
    <row r="30" spans="1:17" s="50" customFormat="1" ht="25" customHeight="1">
      <c r="A30" s="269" t="s">
        <v>392</v>
      </c>
      <c r="B30" s="296" t="s">
        <v>627</v>
      </c>
      <c r="C30" s="272">
        <v>2</v>
      </c>
      <c r="D30" s="272">
        <v>1</v>
      </c>
      <c r="E30" s="272">
        <v>2</v>
      </c>
      <c r="F30" s="180">
        <f t="shared" si="2"/>
        <v>66</v>
      </c>
      <c r="G30" s="268">
        <v>65</v>
      </c>
      <c r="H30" s="268">
        <f t="shared" si="0"/>
        <v>260</v>
      </c>
      <c r="I30" s="177">
        <f t="shared" si="1"/>
        <v>66</v>
      </c>
      <c r="J30" s="178"/>
      <c r="K30" s="178"/>
      <c r="L30" s="178"/>
      <c r="M30" s="178"/>
      <c r="N30" s="178"/>
      <c r="O30" s="178"/>
      <c r="P30" s="178"/>
      <c r="Q30" s="179"/>
    </row>
    <row r="31" spans="1:17" s="50" customFormat="1" ht="25" customHeight="1">
      <c r="A31" s="269" t="s">
        <v>393</v>
      </c>
      <c r="B31" s="296" t="s">
        <v>628</v>
      </c>
      <c r="C31" s="272">
        <v>4</v>
      </c>
      <c r="D31" s="272">
        <v>1</v>
      </c>
      <c r="E31" s="272">
        <v>2</v>
      </c>
      <c r="F31" s="180">
        <f t="shared" si="2"/>
        <v>171.6</v>
      </c>
      <c r="G31" s="268">
        <v>70</v>
      </c>
      <c r="H31" s="268">
        <f t="shared" si="0"/>
        <v>560</v>
      </c>
      <c r="I31" s="177">
        <f t="shared" si="1"/>
        <v>171.6</v>
      </c>
      <c r="J31" s="178"/>
      <c r="K31" s="178"/>
      <c r="L31" s="178"/>
      <c r="M31" s="178"/>
      <c r="N31" s="178"/>
      <c r="O31" s="178"/>
      <c r="P31" s="178"/>
      <c r="Q31" s="179"/>
    </row>
    <row r="32" spans="1:17" s="50" customFormat="1" ht="25" customHeight="1">
      <c r="A32" s="269" t="s">
        <v>394</v>
      </c>
      <c r="B32" s="296" t="s">
        <v>629</v>
      </c>
      <c r="C32" s="272">
        <v>2</v>
      </c>
      <c r="D32" s="272">
        <v>1.08</v>
      </c>
      <c r="E32" s="272">
        <v>4</v>
      </c>
      <c r="F32" s="180">
        <f t="shared" si="2"/>
        <v>132</v>
      </c>
      <c r="G32" s="268">
        <v>50</v>
      </c>
      <c r="H32" s="268">
        <f t="shared" si="0"/>
        <v>432</v>
      </c>
      <c r="I32" s="177">
        <f t="shared" si="1"/>
        <v>132</v>
      </c>
      <c r="J32" s="178"/>
      <c r="K32" s="178"/>
      <c r="L32" s="178"/>
      <c r="M32" s="178"/>
      <c r="N32" s="178"/>
      <c r="O32" s="178"/>
      <c r="P32" s="178"/>
      <c r="Q32" s="179"/>
    </row>
    <row r="33" spans="1:17" s="50" customFormat="1" ht="25" customHeight="1">
      <c r="A33" s="269" t="s">
        <v>395</v>
      </c>
      <c r="B33" s="300" t="s">
        <v>260</v>
      </c>
      <c r="C33" s="301">
        <v>4</v>
      </c>
      <c r="D33" s="272">
        <v>1.08</v>
      </c>
      <c r="E33" s="302">
        <v>2</v>
      </c>
      <c r="F33" s="180">
        <f t="shared" si="2"/>
        <v>171.6</v>
      </c>
      <c r="G33" s="181">
        <v>70</v>
      </c>
      <c r="H33" s="268">
        <f t="shared" si="0"/>
        <v>604.80000000000007</v>
      </c>
      <c r="I33" s="177">
        <f t="shared" si="1"/>
        <v>171.6</v>
      </c>
      <c r="J33" s="178"/>
      <c r="K33" s="178"/>
      <c r="L33" s="178"/>
      <c r="M33" s="178"/>
      <c r="N33" s="178"/>
      <c r="O33" s="178"/>
      <c r="P33" s="178"/>
      <c r="Q33" s="179"/>
    </row>
    <row r="34" spans="1:17" s="50" customFormat="1" ht="25" customHeight="1">
      <c r="A34" s="269" t="s">
        <v>396</v>
      </c>
      <c r="B34" s="303" t="s">
        <v>630</v>
      </c>
      <c r="C34" s="272">
        <v>3</v>
      </c>
      <c r="D34" s="272">
        <v>1</v>
      </c>
      <c r="E34" s="272">
        <v>2</v>
      </c>
      <c r="F34" s="180">
        <f t="shared" si="2"/>
        <v>128.70000000000002</v>
      </c>
      <c r="G34" s="268">
        <v>80</v>
      </c>
      <c r="H34" s="268">
        <f t="shared" si="0"/>
        <v>480</v>
      </c>
      <c r="I34" s="177">
        <f t="shared" si="1"/>
        <v>128.70000000000002</v>
      </c>
      <c r="J34" s="178"/>
      <c r="K34" s="178"/>
      <c r="L34" s="178"/>
      <c r="M34" s="178"/>
      <c r="N34" s="178"/>
      <c r="O34" s="178"/>
      <c r="P34" s="178"/>
      <c r="Q34" s="179"/>
    </row>
    <row r="35" spans="1:17" s="50" customFormat="1" ht="25" customHeight="1">
      <c r="A35" s="269" t="s">
        <v>397</v>
      </c>
      <c r="B35" s="296" t="s">
        <v>631</v>
      </c>
      <c r="C35" s="272">
        <v>3</v>
      </c>
      <c r="D35" s="272">
        <v>1</v>
      </c>
      <c r="E35" s="272">
        <v>2</v>
      </c>
      <c r="F35" s="180">
        <f t="shared" si="2"/>
        <v>128.70000000000002</v>
      </c>
      <c r="G35" s="268">
        <v>70</v>
      </c>
      <c r="H35" s="268">
        <f t="shared" si="0"/>
        <v>420</v>
      </c>
      <c r="I35" s="177">
        <f t="shared" si="1"/>
        <v>128.70000000000002</v>
      </c>
      <c r="J35" s="178"/>
      <c r="K35" s="178"/>
      <c r="L35" s="178"/>
      <c r="M35" s="178"/>
      <c r="N35" s="178"/>
      <c r="O35" s="178"/>
      <c r="P35" s="178"/>
      <c r="Q35" s="179"/>
    </row>
    <row r="36" spans="1:17" s="50" customFormat="1" ht="25" customHeight="1">
      <c r="A36" s="269" t="s">
        <v>398</v>
      </c>
      <c r="B36" s="296" t="s">
        <v>262</v>
      </c>
      <c r="C36" s="272">
        <v>3</v>
      </c>
      <c r="D36" s="272">
        <v>1</v>
      </c>
      <c r="E36" s="272">
        <v>1</v>
      </c>
      <c r="F36" s="180">
        <f t="shared" si="2"/>
        <v>49.5</v>
      </c>
      <c r="G36" s="268">
        <v>21</v>
      </c>
      <c r="H36" s="268">
        <f t="shared" si="0"/>
        <v>63</v>
      </c>
      <c r="I36" s="177">
        <f t="shared" si="1"/>
        <v>49.5</v>
      </c>
      <c r="J36" s="178"/>
      <c r="K36" s="178"/>
      <c r="L36" s="178"/>
      <c r="M36" s="178"/>
      <c r="N36" s="178"/>
      <c r="O36" s="178"/>
      <c r="P36" s="178"/>
      <c r="Q36" s="179"/>
    </row>
    <row r="37" spans="1:17" s="50" customFormat="1" ht="25" customHeight="1">
      <c r="A37" s="269" t="s">
        <v>399</v>
      </c>
      <c r="B37" s="296" t="s">
        <v>632</v>
      </c>
      <c r="C37" s="272">
        <v>4</v>
      </c>
      <c r="D37" s="272">
        <v>1</v>
      </c>
      <c r="E37" s="272">
        <v>5</v>
      </c>
      <c r="F37" s="180">
        <f t="shared" si="2"/>
        <v>429</v>
      </c>
      <c r="G37" s="268">
        <v>70</v>
      </c>
      <c r="H37" s="268">
        <f t="shared" si="0"/>
        <v>1400</v>
      </c>
      <c r="I37" s="177">
        <f t="shared" si="1"/>
        <v>429</v>
      </c>
      <c r="J37" s="178"/>
      <c r="K37" s="178"/>
      <c r="L37" s="178"/>
      <c r="M37" s="178"/>
      <c r="N37" s="178"/>
      <c r="O37" s="178"/>
      <c r="P37" s="178"/>
      <c r="Q37" s="179"/>
    </row>
    <row r="38" spans="1:17" s="50" customFormat="1" ht="25" customHeight="1">
      <c r="A38" s="269" t="s">
        <v>400</v>
      </c>
      <c r="B38" s="296" t="s">
        <v>626</v>
      </c>
      <c r="C38" s="272">
        <v>2</v>
      </c>
      <c r="D38" s="272">
        <v>1.4</v>
      </c>
      <c r="E38" s="272">
        <v>6</v>
      </c>
      <c r="F38" s="180">
        <f t="shared" si="2"/>
        <v>90</v>
      </c>
      <c r="G38" s="268">
        <v>20</v>
      </c>
      <c r="H38" s="268">
        <f t="shared" si="0"/>
        <v>335.99999999999994</v>
      </c>
      <c r="I38" s="177">
        <f>E38*15</f>
        <v>90</v>
      </c>
      <c r="J38" s="178"/>
      <c r="K38" s="178"/>
      <c r="L38" s="178"/>
      <c r="M38" s="178"/>
      <c r="N38" s="178"/>
      <c r="O38" s="178"/>
      <c r="P38" s="178"/>
      <c r="Q38" s="179"/>
    </row>
    <row r="39" spans="1:17" s="50" customFormat="1" ht="25" customHeight="1">
      <c r="A39" s="269" t="s">
        <v>401</v>
      </c>
      <c r="B39" s="296" t="s">
        <v>263</v>
      </c>
      <c r="C39" s="272">
        <v>3</v>
      </c>
      <c r="D39" s="272">
        <v>1</v>
      </c>
      <c r="E39" s="272">
        <v>6</v>
      </c>
      <c r="F39" s="180">
        <f t="shared" si="2"/>
        <v>297</v>
      </c>
      <c r="G39" s="268">
        <v>50</v>
      </c>
      <c r="H39" s="268">
        <f t="shared" si="0"/>
        <v>900</v>
      </c>
      <c r="I39" s="177">
        <f t="shared" si="1"/>
        <v>297</v>
      </c>
      <c r="J39" s="178"/>
      <c r="K39" s="178"/>
      <c r="L39" s="178"/>
      <c r="M39" s="178"/>
      <c r="N39" s="178"/>
      <c r="O39" s="178"/>
      <c r="P39" s="178"/>
      <c r="Q39" s="179"/>
    </row>
    <row r="40" spans="1:17" s="50" customFormat="1" ht="25" customHeight="1">
      <c r="A40" s="269" t="s">
        <v>402</v>
      </c>
      <c r="B40" s="296" t="s">
        <v>264</v>
      </c>
      <c r="C40" s="272">
        <v>3</v>
      </c>
      <c r="D40" s="272">
        <v>1</v>
      </c>
      <c r="E40" s="272">
        <v>3</v>
      </c>
      <c r="F40" s="180">
        <f t="shared" si="2"/>
        <v>193.05</v>
      </c>
      <c r="G40" s="268">
        <v>70</v>
      </c>
      <c r="H40" s="268">
        <f t="shared" si="0"/>
        <v>630</v>
      </c>
      <c r="I40" s="177">
        <f t="shared" si="1"/>
        <v>193.05</v>
      </c>
      <c r="J40" s="178"/>
      <c r="K40" s="178"/>
      <c r="L40" s="178"/>
      <c r="M40" s="178"/>
      <c r="N40" s="178"/>
      <c r="O40" s="178"/>
      <c r="P40" s="178"/>
      <c r="Q40" s="179"/>
    </row>
    <row r="41" spans="1:17" s="50" customFormat="1" ht="25" customHeight="1">
      <c r="A41" s="269" t="s">
        <v>403</v>
      </c>
      <c r="B41" s="296" t="s">
        <v>265</v>
      </c>
      <c r="C41" s="272">
        <v>2</v>
      </c>
      <c r="D41" s="272">
        <v>1</v>
      </c>
      <c r="E41" s="272">
        <v>1</v>
      </c>
      <c r="F41" s="180">
        <f t="shared" si="2"/>
        <v>33</v>
      </c>
      <c r="G41" s="268">
        <v>50</v>
      </c>
      <c r="H41" s="268">
        <f t="shared" si="0"/>
        <v>100</v>
      </c>
      <c r="I41" s="177">
        <f t="shared" si="1"/>
        <v>33</v>
      </c>
      <c r="J41" s="178"/>
      <c r="K41" s="178"/>
      <c r="L41" s="178"/>
      <c r="M41" s="178"/>
      <c r="N41" s="178"/>
      <c r="O41" s="178"/>
      <c r="P41" s="178"/>
      <c r="Q41" s="179"/>
    </row>
    <row r="42" spans="1:17" s="50" customFormat="1" ht="25" customHeight="1">
      <c r="A42" s="269" t="s">
        <v>404</v>
      </c>
      <c r="B42" s="296" t="s">
        <v>266</v>
      </c>
      <c r="C42" s="272">
        <v>2</v>
      </c>
      <c r="D42" s="272">
        <v>1</v>
      </c>
      <c r="E42" s="272">
        <v>1</v>
      </c>
      <c r="F42" s="180">
        <f t="shared" si="2"/>
        <v>33</v>
      </c>
      <c r="G42" s="268">
        <v>50</v>
      </c>
      <c r="H42" s="268">
        <f t="shared" si="0"/>
        <v>100</v>
      </c>
      <c r="I42" s="177">
        <f t="shared" si="1"/>
        <v>33</v>
      </c>
      <c r="J42" s="178"/>
      <c r="K42" s="178"/>
      <c r="L42" s="178"/>
      <c r="M42" s="178"/>
      <c r="N42" s="178"/>
      <c r="O42" s="178"/>
      <c r="P42" s="178"/>
      <c r="Q42" s="179"/>
    </row>
    <row r="43" spans="1:17" s="50" customFormat="1" ht="25" customHeight="1">
      <c r="A43" s="269" t="s">
        <v>405</v>
      </c>
      <c r="B43" s="300" t="s">
        <v>633</v>
      </c>
      <c r="C43" s="272">
        <v>2</v>
      </c>
      <c r="D43" s="272">
        <v>1</v>
      </c>
      <c r="E43" s="272">
        <v>5</v>
      </c>
      <c r="F43" s="180">
        <f t="shared" si="2"/>
        <v>165</v>
      </c>
      <c r="G43" s="268">
        <v>50</v>
      </c>
      <c r="H43" s="268">
        <f t="shared" si="0"/>
        <v>500</v>
      </c>
      <c r="I43" s="177">
        <f t="shared" si="1"/>
        <v>165</v>
      </c>
      <c r="J43" s="178"/>
      <c r="K43" s="178"/>
      <c r="L43" s="178"/>
      <c r="M43" s="178"/>
      <c r="N43" s="178"/>
      <c r="O43" s="178"/>
      <c r="P43" s="178"/>
      <c r="Q43" s="179"/>
    </row>
    <row r="44" spans="1:17" s="50" customFormat="1" ht="25" customHeight="1">
      <c r="A44" s="269" t="s">
        <v>634</v>
      </c>
      <c r="B44" s="304" t="s">
        <v>635</v>
      </c>
      <c r="C44" s="305">
        <v>3</v>
      </c>
      <c r="D44" s="272">
        <v>1</v>
      </c>
      <c r="E44" s="272">
        <v>4</v>
      </c>
      <c r="F44" s="180">
        <f t="shared" si="2"/>
        <v>198</v>
      </c>
      <c r="G44" s="182">
        <v>40</v>
      </c>
      <c r="H44" s="268">
        <f t="shared" si="0"/>
        <v>480</v>
      </c>
      <c r="I44" s="177">
        <f t="shared" si="1"/>
        <v>198</v>
      </c>
      <c r="J44" s="178"/>
      <c r="K44" s="178"/>
      <c r="L44" s="178"/>
      <c r="M44" s="178"/>
      <c r="N44" s="178"/>
      <c r="O44" s="178"/>
      <c r="P44" s="178"/>
      <c r="Q44" s="179"/>
    </row>
    <row r="45" spans="1:17" s="50" customFormat="1" ht="25" customHeight="1">
      <c r="A45" s="269" t="s">
        <v>636</v>
      </c>
      <c r="B45" s="306" t="s">
        <v>637</v>
      </c>
      <c r="C45" s="272">
        <v>5</v>
      </c>
      <c r="D45" s="272">
        <v>1</v>
      </c>
      <c r="E45" s="272">
        <v>4</v>
      </c>
      <c r="F45" s="180">
        <f t="shared" si="2"/>
        <v>330</v>
      </c>
      <c r="G45" s="268">
        <v>0</v>
      </c>
      <c r="H45" s="268">
        <v>0</v>
      </c>
      <c r="I45" s="177">
        <f t="shared" si="1"/>
        <v>330</v>
      </c>
      <c r="J45" s="178"/>
      <c r="K45" s="178"/>
      <c r="L45" s="178"/>
      <c r="M45" s="178"/>
      <c r="N45" s="178"/>
      <c r="O45" s="178"/>
      <c r="P45" s="178"/>
      <c r="Q45" s="179"/>
    </row>
    <row r="46" spans="1:17" s="50" customFormat="1" ht="25" customHeight="1">
      <c r="A46" s="269" t="s">
        <v>638</v>
      </c>
      <c r="B46" s="306" t="s">
        <v>259</v>
      </c>
      <c r="C46" s="305">
        <v>4</v>
      </c>
      <c r="D46" s="272">
        <v>1</v>
      </c>
      <c r="E46" s="272">
        <v>4</v>
      </c>
      <c r="F46" s="180">
        <f t="shared" si="2"/>
        <v>160</v>
      </c>
      <c r="G46" s="184">
        <v>20</v>
      </c>
      <c r="H46" s="268">
        <f>C46*D46*E46*G46</f>
        <v>320</v>
      </c>
      <c r="I46" s="177">
        <f>E46*G46*2</f>
        <v>160</v>
      </c>
      <c r="J46" s="178"/>
      <c r="K46" s="178"/>
      <c r="L46" s="178"/>
      <c r="M46" s="178"/>
      <c r="N46" s="178"/>
      <c r="O46" s="178"/>
      <c r="P46" s="178"/>
      <c r="Q46" s="179"/>
    </row>
    <row r="47" spans="1:17" s="50" customFormat="1" ht="25" customHeight="1">
      <c r="A47" s="269" t="s">
        <v>639</v>
      </c>
      <c r="B47" s="307" t="s">
        <v>256</v>
      </c>
      <c r="C47" s="305">
        <v>2</v>
      </c>
      <c r="D47" s="272">
        <v>1</v>
      </c>
      <c r="E47" s="272">
        <v>2</v>
      </c>
      <c r="F47" s="268"/>
      <c r="G47" s="268"/>
      <c r="H47" s="268"/>
      <c r="I47" s="178"/>
      <c r="J47" s="178"/>
      <c r="K47" s="178"/>
      <c r="L47" s="178"/>
      <c r="M47" s="178"/>
      <c r="N47" s="178"/>
      <c r="O47" s="178"/>
      <c r="P47" s="178"/>
      <c r="Q47" s="179"/>
    </row>
    <row r="48" spans="1:17" s="50" customFormat="1" ht="25" customHeight="1">
      <c r="A48" s="269" t="s">
        <v>640</v>
      </c>
      <c r="B48" s="307" t="s">
        <v>255</v>
      </c>
      <c r="C48" s="305">
        <v>2</v>
      </c>
      <c r="D48" s="272">
        <v>1</v>
      </c>
      <c r="E48" s="272">
        <v>2</v>
      </c>
      <c r="F48" s="268">
        <f>SUM(F12:F47)</f>
        <v>5781.55</v>
      </c>
      <c r="G48" s="172">
        <f>SUM(G12:G47)</f>
        <v>1761</v>
      </c>
      <c r="H48" s="172">
        <f>SUM(H12:H47)</f>
        <v>16353.8</v>
      </c>
      <c r="I48" s="172">
        <f>SUM(I12:I47)</f>
        <v>5781.55</v>
      </c>
      <c r="J48" s="178">
        <v>0</v>
      </c>
      <c r="K48" s="178">
        <v>0</v>
      </c>
      <c r="L48" s="178"/>
      <c r="M48" s="178"/>
      <c r="N48" s="178"/>
      <c r="O48" s="178"/>
      <c r="P48" s="178"/>
      <c r="Q48" s="179"/>
    </row>
    <row r="49" spans="1:17" s="50" customFormat="1" ht="25" customHeight="1">
      <c r="A49" s="269" t="s">
        <v>641</v>
      </c>
      <c r="B49" s="308" t="s">
        <v>642</v>
      </c>
      <c r="C49" s="305">
        <v>1</v>
      </c>
      <c r="D49" s="272">
        <v>1.4</v>
      </c>
      <c r="E49" s="272">
        <v>14</v>
      </c>
      <c r="F49" s="268"/>
      <c r="G49" s="268"/>
      <c r="H49" s="268"/>
      <c r="I49" s="268"/>
      <c r="J49" s="178"/>
      <c r="K49" s="178"/>
      <c r="L49" s="178"/>
      <c r="M49" s="178"/>
      <c r="N49" s="178"/>
      <c r="O49" s="178"/>
      <c r="P49" s="178"/>
      <c r="Q49" s="179"/>
    </row>
    <row r="50" spans="1:17" s="50" customFormat="1" ht="25" customHeight="1">
      <c r="A50" s="269" t="s">
        <v>643</v>
      </c>
      <c r="B50" s="309" t="s">
        <v>408</v>
      </c>
      <c r="C50" s="310">
        <v>1</v>
      </c>
      <c r="D50" s="310">
        <v>1.4</v>
      </c>
      <c r="E50" s="310">
        <v>2</v>
      </c>
      <c r="F50" s="268"/>
      <c r="G50" s="268"/>
      <c r="H50" s="268"/>
      <c r="I50" s="268"/>
      <c r="J50" s="178">
        <v>10</v>
      </c>
      <c r="K50" s="178"/>
      <c r="L50" s="178"/>
      <c r="M50" s="178"/>
      <c r="N50" s="178"/>
      <c r="O50" s="178"/>
      <c r="P50" s="178"/>
      <c r="Q50" s="1872" t="s">
        <v>520</v>
      </c>
    </row>
    <row r="51" spans="1:17" s="50" customFormat="1" ht="25" customHeight="1">
      <c r="A51" s="311" t="s">
        <v>146</v>
      </c>
      <c r="B51" s="312" t="s">
        <v>149</v>
      </c>
      <c r="C51" s="272">
        <v>0</v>
      </c>
      <c r="D51" s="272">
        <v>0</v>
      </c>
      <c r="E51" s="272">
        <v>0</v>
      </c>
      <c r="F51" s="268"/>
      <c r="G51" s="268"/>
      <c r="H51" s="268"/>
      <c r="I51" s="268"/>
      <c r="J51" s="178">
        <v>15</v>
      </c>
      <c r="K51" s="178"/>
      <c r="L51" s="178"/>
      <c r="M51" s="178"/>
      <c r="N51" s="178"/>
      <c r="O51" s="178"/>
      <c r="P51" s="178"/>
      <c r="Q51" s="1872"/>
    </row>
    <row r="52" spans="1:17" s="50" customFormat="1" ht="25" customHeight="1">
      <c r="A52" s="313" t="s">
        <v>230</v>
      </c>
      <c r="B52" s="269" t="s">
        <v>154</v>
      </c>
      <c r="C52" s="272">
        <v>4</v>
      </c>
      <c r="D52" s="272">
        <v>1.4</v>
      </c>
      <c r="E52" s="272">
        <v>4</v>
      </c>
      <c r="F52" s="268"/>
      <c r="G52" s="268"/>
      <c r="H52" s="268"/>
      <c r="I52" s="268"/>
      <c r="J52" s="178">
        <v>5</v>
      </c>
      <c r="K52" s="178"/>
      <c r="L52" s="178"/>
      <c r="M52" s="178"/>
      <c r="N52" s="178"/>
      <c r="O52" s="178"/>
      <c r="P52" s="178"/>
      <c r="Q52" s="1872"/>
    </row>
    <row r="53" spans="1:17" s="50" customFormat="1" ht="25" customHeight="1">
      <c r="A53" s="313" t="s">
        <v>231</v>
      </c>
      <c r="B53" s="269" t="s">
        <v>155</v>
      </c>
      <c r="C53" s="272"/>
      <c r="D53" s="272"/>
      <c r="E53" s="272"/>
      <c r="F53" s="268"/>
      <c r="G53" s="268"/>
      <c r="H53" s="268"/>
      <c r="I53" s="178"/>
      <c r="J53" s="178"/>
      <c r="K53" s="178"/>
      <c r="L53" s="178"/>
      <c r="M53" s="178"/>
      <c r="N53" s="178"/>
      <c r="O53" s="178"/>
      <c r="P53" s="178"/>
      <c r="Q53" s="179"/>
    </row>
    <row r="54" spans="1:17" s="50" customFormat="1" ht="25" customHeight="1">
      <c r="A54" s="313"/>
      <c r="B54" s="314" t="s">
        <v>350</v>
      </c>
      <c r="C54" s="315">
        <f>SUM(C12:C53)</f>
        <v>107</v>
      </c>
      <c r="D54" s="315">
        <f>SUM(D12:D53)</f>
        <v>43.659999999999989</v>
      </c>
      <c r="E54" s="315">
        <f>SUM(E12:E53)</f>
        <v>146</v>
      </c>
      <c r="F54" s="268"/>
      <c r="G54" s="268"/>
      <c r="H54" s="268"/>
      <c r="I54" s="178"/>
      <c r="J54" s="178"/>
      <c r="K54" s="178"/>
      <c r="L54" s="178"/>
      <c r="M54" s="178"/>
      <c r="N54" s="178"/>
      <c r="O54" s="178"/>
      <c r="P54" s="178"/>
      <c r="Q54" s="179"/>
    </row>
    <row r="55" spans="1:17" s="50" customFormat="1" ht="25" customHeight="1">
      <c r="A55" s="311"/>
      <c r="B55" s="314" t="s">
        <v>516</v>
      </c>
      <c r="C55" s="272"/>
      <c r="D55" s="272"/>
      <c r="E55" s="272"/>
      <c r="F55" s="180">
        <f t="shared" ref="F55:F62" si="3">I55+J55+K55</f>
        <v>0</v>
      </c>
      <c r="G55" s="268">
        <v>10</v>
      </c>
      <c r="H55" s="268">
        <f t="shared" ref="H55:H60" si="4">C55*D55*E55*G55</f>
        <v>0</v>
      </c>
      <c r="I55" s="177">
        <f t="shared" ref="I55:I60" si="5">IF(G55&lt;70, C55*E55*16.5*1.5, C55*E55*16.5*1.5)</f>
        <v>0</v>
      </c>
      <c r="J55" s="178"/>
      <c r="K55" s="178"/>
      <c r="L55" s="178"/>
      <c r="M55" s="178"/>
      <c r="N55" s="178"/>
      <c r="O55" s="178"/>
      <c r="P55" s="178"/>
      <c r="Q55" s="179"/>
    </row>
    <row r="56" spans="1:17" s="50" customFormat="1" ht="25" customHeight="1">
      <c r="A56" s="313" t="s">
        <v>523</v>
      </c>
      <c r="B56" s="269" t="s">
        <v>517</v>
      </c>
      <c r="C56" s="272">
        <v>5</v>
      </c>
      <c r="D56" s="272"/>
      <c r="E56" s="272">
        <v>2</v>
      </c>
      <c r="F56" s="180">
        <f t="shared" si="3"/>
        <v>247.5</v>
      </c>
      <c r="G56" s="268">
        <v>10</v>
      </c>
      <c r="H56" s="268">
        <f t="shared" si="4"/>
        <v>0</v>
      </c>
      <c r="I56" s="177">
        <f t="shared" si="5"/>
        <v>247.5</v>
      </c>
      <c r="J56" s="178"/>
      <c r="K56" s="178"/>
      <c r="L56" s="178"/>
      <c r="M56" s="178"/>
      <c r="N56" s="178"/>
      <c r="O56" s="178"/>
      <c r="P56" s="178"/>
      <c r="Q56" s="179"/>
    </row>
    <row r="57" spans="1:17" s="50" customFormat="1" ht="25" customHeight="1">
      <c r="A57" s="313" t="s">
        <v>524</v>
      </c>
      <c r="B57" s="269" t="s">
        <v>518</v>
      </c>
      <c r="C57" s="272">
        <v>5</v>
      </c>
      <c r="D57" s="272"/>
      <c r="E57" s="272">
        <v>3</v>
      </c>
      <c r="F57" s="180">
        <f t="shared" si="3"/>
        <v>371.25</v>
      </c>
      <c r="G57" s="268">
        <v>10</v>
      </c>
      <c r="H57" s="268">
        <f t="shared" si="4"/>
        <v>0</v>
      </c>
      <c r="I57" s="177">
        <f t="shared" si="5"/>
        <v>371.25</v>
      </c>
      <c r="J57" s="178"/>
      <c r="K57" s="178"/>
      <c r="L57" s="178"/>
      <c r="M57" s="178"/>
      <c r="N57" s="178"/>
      <c r="O57" s="178"/>
      <c r="P57" s="178"/>
      <c r="Q57" s="179"/>
    </row>
    <row r="58" spans="1:17" s="50" customFormat="1" ht="25" customHeight="1">
      <c r="A58" s="313" t="s">
        <v>525</v>
      </c>
      <c r="B58" s="296" t="s">
        <v>519</v>
      </c>
      <c r="C58" s="272">
        <v>4</v>
      </c>
      <c r="D58" s="272"/>
      <c r="E58" s="272">
        <v>1</v>
      </c>
      <c r="F58" s="180">
        <f t="shared" si="3"/>
        <v>99</v>
      </c>
      <c r="G58" s="268">
        <v>10</v>
      </c>
      <c r="H58" s="268">
        <f t="shared" si="4"/>
        <v>0</v>
      </c>
      <c r="I58" s="177">
        <f t="shared" si="5"/>
        <v>99</v>
      </c>
      <c r="J58" s="178"/>
      <c r="K58" s="178"/>
      <c r="L58" s="178"/>
      <c r="M58" s="178"/>
      <c r="N58" s="178"/>
      <c r="O58" s="178"/>
      <c r="P58" s="178"/>
      <c r="Q58" s="179"/>
    </row>
    <row r="59" spans="1:17" s="50" customFormat="1" ht="25" customHeight="1">
      <c r="A59" s="316">
        <v>2</v>
      </c>
      <c r="B59" s="316" t="s">
        <v>162</v>
      </c>
      <c r="C59" s="272"/>
      <c r="D59" s="272"/>
      <c r="E59" s="272"/>
      <c r="F59" s="180">
        <f t="shared" si="3"/>
        <v>0</v>
      </c>
      <c r="G59" s="268">
        <v>10</v>
      </c>
      <c r="H59" s="268">
        <f t="shared" si="4"/>
        <v>0</v>
      </c>
      <c r="I59" s="177">
        <f t="shared" si="5"/>
        <v>0</v>
      </c>
      <c r="J59" s="178"/>
      <c r="K59" s="178"/>
      <c r="L59" s="178"/>
      <c r="M59" s="178"/>
      <c r="N59" s="178"/>
      <c r="O59" s="178"/>
      <c r="P59" s="178"/>
      <c r="Q59" s="179"/>
    </row>
    <row r="60" spans="1:17" s="50" customFormat="1" ht="25" customHeight="1">
      <c r="A60" s="317" t="s">
        <v>145</v>
      </c>
      <c r="B60" s="318" t="s">
        <v>163</v>
      </c>
      <c r="C60" s="272"/>
      <c r="D60" s="272"/>
      <c r="E60" s="272"/>
      <c r="F60" s="180">
        <f t="shared" si="3"/>
        <v>0</v>
      </c>
      <c r="G60" s="268">
        <v>15</v>
      </c>
      <c r="H60" s="268">
        <f t="shared" si="4"/>
        <v>0</v>
      </c>
      <c r="I60" s="177">
        <f t="shared" si="5"/>
        <v>0</v>
      </c>
      <c r="J60" s="178"/>
      <c r="K60" s="178"/>
      <c r="L60" s="178"/>
      <c r="M60" s="178"/>
      <c r="N60" s="178"/>
      <c r="O60" s="178"/>
      <c r="P60" s="178"/>
      <c r="Q60" s="179"/>
    </row>
    <row r="61" spans="1:17" s="50" customFormat="1" ht="25" customHeight="1">
      <c r="A61" s="269" t="s">
        <v>224</v>
      </c>
      <c r="B61" s="270" t="s">
        <v>267</v>
      </c>
      <c r="C61" s="272">
        <v>3</v>
      </c>
      <c r="D61" s="272">
        <v>1</v>
      </c>
      <c r="E61" s="272">
        <v>1</v>
      </c>
      <c r="F61" s="180">
        <f t="shared" si="3"/>
        <v>49.5</v>
      </c>
      <c r="G61" s="186"/>
      <c r="H61" s="186"/>
      <c r="I61" s="177">
        <f>IF(G61&lt;70, C61*E61*16.5*1, C61*E61*16.5*1.3)</f>
        <v>49.5</v>
      </c>
      <c r="J61" s="178"/>
      <c r="K61" s="178"/>
      <c r="L61" s="178"/>
      <c r="M61" s="178"/>
      <c r="N61" s="178"/>
      <c r="O61" s="178"/>
      <c r="P61" s="178"/>
      <c r="Q61" s="179"/>
    </row>
    <row r="62" spans="1:17" s="50" customFormat="1" ht="25" customHeight="1">
      <c r="A62" s="269" t="s">
        <v>225</v>
      </c>
      <c r="B62" s="270" t="s">
        <v>268</v>
      </c>
      <c r="C62" s="272">
        <v>3</v>
      </c>
      <c r="D62" s="272">
        <v>1</v>
      </c>
      <c r="E62" s="272">
        <v>1</v>
      </c>
      <c r="F62" s="180">
        <f t="shared" si="3"/>
        <v>385</v>
      </c>
      <c r="G62" s="186">
        <v>11</v>
      </c>
      <c r="H62" s="268">
        <f>C62*G62*D62</f>
        <v>33</v>
      </c>
      <c r="I62" s="177">
        <f>11*35</f>
        <v>385</v>
      </c>
      <c r="J62" s="178"/>
      <c r="K62" s="178"/>
      <c r="L62" s="178"/>
      <c r="M62" s="178"/>
      <c r="N62" s="178"/>
      <c r="O62" s="178"/>
      <c r="P62" s="178"/>
      <c r="Q62" s="179"/>
    </row>
    <row r="63" spans="1:17" s="50" customFormat="1" ht="25" customHeight="1">
      <c r="A63" s="269" t="s">
        <v>226</v>
      </c>
      <c r="B63" s="270" t="s">
        <v>269</v>
      </c>
      <c r="C63" s="272">
        <v>3</v>
      </c>
      <c r="D63" s="272">
        <v>1</v>
      </c>
      <c r="E63" s="272">
        <v>1</v>
      </c>
      <c r="F63" s="268">
        <f>SUM(F55:F62)</f>
        <v>1152.25</v>
      </c>
      <c r="G63" s="172">
        <f>SUM(G55:G62)</f>
        <v>76</v>
      </c>
      <c r="H63" s="172">
        <f>SUM(H55:H62)</f>
        <v>33</v>
      </c>
      <c r="I63" s="172">
        <f>SUM(I55:I62)</f>
        <v>1152.25</v>
      </c>
      <c r="J63" s="178"/>
      <c r="K63" s="178"/>
      <c r="L63" s="178"/>
      <c r="M63" s="178"/>
      <c r="N63" s="178"/>
      <c r="O63" s="178"/>
      <c r="P63" s="178"/>
      <c r="Q63" s="179"/>
    </row>
    <row r="64" spans="1:17" s="50" customFormat="1" ht="25" customHeight="1">
      <c r="A64" s="269" t="s">
        <v>227</v>
      </c>
      <c r="B64" s="270" t="s">
        <v>270</v>
      </c>
      <c r="C64" s="272">
        <v>3</v>
      </c>
      <c r="D64" s="272">
        <v>1</v>
      </c>
      <c r="E64" s="272">
        <v>1</v>
      </c>
      <c r="F64" s="268">
        <v>0</v>
      </c>
      <c r="G64" s="268">
        <v>0</v>
      </c>
      <c r="H64" s="268">
        <v>0</v>
      </c>
      <c r="I64" s="268">
        <v>0</v>
      </c>
      <c r="J64" s="178"/>
      <c r="K64" s="178"/>
      <c r="L64" s="178"/>
      <c r="M64" s="178"/>
      <c r="N64" s="178"/>
      <c r="O64" s="178"/>
      <c r="P64" s="178"/>
      <c r="Q64" s="179"/>
    </row>
    <row r="65" spans="1:17" s="50" customFormat="1" ht="25" customHeight="1">
      <c r="A65" s="269" t="s">
        <v>228</v>
      </c>
      <c r="B65" s="273" t="s">
        <v>271</v>
      </c>
      <c r="C65" s="272">
        <v>3</v>
      </c>
      <c r="D65" s="272">
        <v>1</v>
      </c>
      <c r="E65" s="272">
        <v>1</v>
      </c>
      <c r="F65" s="268"/>
      <c r="G65" s="268"/>
      <c r="H65" s="268"/>
      <c r="I65" s="178"/>
      <c r="J65" s="178"/>
      <c r="K65" s="178"/>
      <c r="L65" s="178"/>
      <c r="M65" s="178"/>
      <c r="N65" s="178"/>
      <c r="O65" s="178"/>
      <c r="P65" s="178"/>
      <c r="Q65" s="179"/>
    </row>
    <row r="66" spans="1:17" s="50" customFormat="1" ht="25" customHeight="1">
      <c r="A66" s="269" t="s">
        <v>229</v>
      </c>
      <c r="B66" s="270" t="s">
        <v>522</v>
      </c>
      <c r="C66" s="272">
        <v>3</v>
      </c>
      <c r="D66" s="272">
        <v>1</v>
      </c>
      <c r="E66" s="272">
        <v>1</v>
      </c>
      <c r="F66" s="268"/>
      <c r="G66" s="268"/>
      <c r="H66" s="268"/>
      <c r="I66" s="178"/>
      <c r="J66" s="178"/>
      <c r="K66" s="178"/>
      <c r="L66" s="178"/>
      <c r="M66" s="178"/>
      <c r="N66" s="178"/>
      <c r="O66" s="178"/>
      <c r="P66" s="178"/>
      <c r="Q66" s="179"/>
    </row>
    <row r="67" spans="1:17" s="50" customFormat="1" ht="25" customHeight="1">
      <c r="A67" s="282" t="s">
        <v>146</v>
      </c>
      <c r="B67" s="283" t="s">
        <v>465</v>
      </c>
      <c r="C67" s="276"/>
      <c r="D67" s="276"/>
      <c r="E67" s="276"/>
      <c r="F67" s="268"/>
      <c r="G67" s="268"/>
      <c r="H67" s="268"/>
      <c r="I67" s="178"/>
      <c r="J67" s="178"/>
      <c r="K67" s="178"/>
      <c r="L67" s="178"/>
      <c r="M67" s="178"/>
      <c r="N67" s="178"/>
      <c r="O67" s="178"/>
      <c r="P67" s="178"/>
      <c r="Q67" s="179"/>
    </row>
    <row r="68" spans="1:17" s="50" customFormat="1" ht="25" customHeight="1">
      <c r="A68" s="282"/>
      <c r="B68" s="275" t="s">
        <v>644</v>
      </c>
      <c r="C68" s="276">
        <v>15</v>
      </c>
      <c r="D68" s="276">
        <v>1</v>
      </c>
      <c r="E68" s="276">
        <v>1</v>
      </c>
      <c r="F68" s="180">
        <f t="shared" ref="F68:F82" si="6">I68+J68+K68</f>
        <v>247.5</v>
      </c>
      <c r="G68" s="268">
        <v>40</v>
      </c>
      <c r="H68" s="268">
        <f t="shared" ref="H68:H82" si="7">C68*D68*E68*G68</f>
        <v>600</v>
      </c>
      <c r="I68" s="177">
        <f t="shared" ref="I68:I82" si="8">IF(G68&lt;70, C68*E68*16.5*1, C68*E68*16.5*1.3)</f>
        <v>247.5</v>
      </c>
      <c r="J68" s="178"/>
      <c r="K68" s="178"/>
      <c r="L68" s="178"/>
      <c r="M68" s="178"/>
      <c r="N68" s="178"/>
      <c r="O68" s="178"/>
      <c r="P68" s="178"/>
      <c r="Q68" s="179"/>
    </row>
    <row r="69" spans="1:17" s="50" customFormat="1" ht="25" customHeight="1">
      <c r="A69" s="269"/>
      <c r="B69" s="314" t="s">
        <v>350</v>
      </c>
      <c r="C69" s="315">
        <f>SUM(C61:C68)</f>
        <v>33</v>
      </c>
      <c r="D69" s="315">
        <f>SUM(D61:D68)</f>
        <v>7</v>
      </c>
      <c r="E69" s="315">
        <f>SUM(E61:E68)</f>
        <v>7</v>
      </c>
      <c r="F69" s="180">
        <f t="shared" si="6"/>
        <v>3811.5</v>
      </c>
      <c r="G69" s="268">
        <v>40</v>
      </c>
      <c r="H69" s="268">
        <f t="shared" si="7"/>
        <v>64680</v>
      </c>
      <c r="I69" s="177">
        <f t="shared" si="8"/>
        <v>3811.5</v>
      </c>
      <c r="J69" s="178"/>
      <c r="K69" s="178"/>
      <c r="L69" s="178"/>
      <c r="M69" s="178"/>
      <c r="N69" s="178"/>
      <c r="O69" s="178"/>
      <c r="P69" s="178"/>
      <c r="Q69" s="179"/>
    </row>
    <row r="70" spans="1:17" s="50" customFormat="1" ht="25" customHeight="1">
      <c r="A70" s="316">
        <v>3</v>
      </c>
      <c r="B70" s="316" t="s">
        <v>164</v>
      </c>
      <c r="C70" s="272">
        <v>0</v>
      </c>
      <c r="D70" s="272">
        <v>0</v>
      </c>
      <c r="E70" s="272">
        <v>0</v>
      </c>
      <c r="F70" s="180">
        <f t="shared" si="6"/>
        <v>0</v>
      </c>
      <c r="G70" s="268">
        <v>40</v>
      </c>
      <c r="H70" s="268">
        <f t="shared" si="7"/>
        <v>0</v>
      </c>
      <c r="I70" s="177">
        <f t="shared" si="8"/>
        <v>0</v>
      </c>
      <c r="J70" s="178"/>
      <c r="K70" s="178"/>
      <c r="L70" s="178"/>
      <c r="M70" s="178"/>
      <c r="N70" s="178"/>
      <c r="O70" s="178"/>
      <c r="P70" s="178"/>
      <c r="Q70" s="179"/>
    </row>
    <row r="71" spans="1:17" s="50" customFormat="1" ht="25" customHeight="1">
      <c r="A71" s="316" t="s">
        <v>7</v>
      </c>
      <c r="B71" s="316" t="s">
        <v>222</v>
      </c>
      <c r="C71" s="272"/>
      <c r="D71" s="272"/>
      <c r="E71" s="272"/>
      <c r="F71" s="180">
        <f t="shared" si="6"/>
        <v>0</v>
      </c>
      <c r="G71" s="268">
        <v>40</v>
      </c>
      <c r="H71" s="268">
        <f t="shared" si="7"/>
        <v>0</v>
      </c>
      <c r="I71" s="177">
        <f t="shared" si="8"/>
        <v>0</v>
      </c>
      <c r="J71" s="178"/>
      <c r="K71" s="178"/>
      <c r="L71" s="178"/>
      <c r="M71" s="178"/>
      <c r="N71" s="178"/>
      <c r="O71" s="178"/>
      <c r="P71" s="178"/>
      <c r="Q71" s="179"/>
    </row>
    <row r="72" spans="1:17" s="50" customFormat="1" ht="25" customHeight="1">
      <c r="A72" s="316">
        <v>1</v>
      </c>
      <c r="B72" s="318" t="s">
        <v>223</v>
      </c>
      <c r="C72" s="272"/>
      <c r="D72" s="272"/>
      <c r="E72" s="272"/>
      <c r="F72" s="180">
        <f t="shared" si="6"/>
        <v>0</v>
      </c>
      <c r="G72" s="268">
        <v>40</v>
      </c>
      <c r="H72" s="268">
        <f t="shared" si="7"/>
        <v>0</v>
      </c>
      <c r="I72" s="177">
        <f t="shared" si="8"/>
        <v>0</v>
      </c>
      <c r="J72" s="178"/>
      <c r="K72" s="178"/>
      <c r="L72" s="178"/>
      <c r="M72" s="178"/>
      <c r="N72" s="178"/>
      <c r="O72" s="178"/>
      <c r="P72" s="178"/>
      <c r="Q72" s="179"/>
    </row>
    <row r="73" spans="1:17" s="50" customFormat="1" ht="25" customHeight="1">
      <c r="A73" s="316" t="s">
        <v>145</v>
      </c>
      <c r="B73" s="318" t="s">
        <v>161</v>
      </c>
      <c r="C73" s="272"/>
      <c r="D73" s="272"/>
      <c r="E73" s="272"/>
      <c r="F73" s="180">
        <f t="shared" si="6"/>
        <v>0</v>
      </c>
      <c r="G73" s="268">
        <v>40</v>
      </c>
      <c r="H73" s="268">
        <f t="shared" si="7"/>
        <v>0</v>
      </c>
      <c r="I73" s="177">
        <f t="shared" si="8"/>
        <v>0</v>
      </c>
      <c r="J73" s="178"/>
      <c r="K73" s="178"/>
      <c r="L73" s="178"/>
      <c r="M73" s="178"/>
      <c r="N73" s="178"/>
      <c r="O73" s="178"/>
      <c r="P73" s="178"/>
      <c r="Q73" s="179"/>
    </row>
    <row r="74" spans="1:17" s="50" customFormat="1" ht="25" customHeight="1">
      <c r="A74" s="313" t="s">
        <v>224</v>
      </c>
      <c r="B74" s="273" t="s">
        <v>264</v>
      </c>
      <c r="C74" s="272">
        <v>3</v>
      </c>
      <c r="D74" s="272">
        <v>1</v>
      </c>
      <c r="E74" s="272">
        <v>3</v>
      </c>
      <c r="F74" s="180">
        <f t="shared" si="6"/>
        <v>148.5</v>
      </c>
      <c r="G74" s="268">
        <v>40</v>
      </c>
      <c r="H74" s="268">
        <f t="shared" si="7"/>
        <v>360</v>
      </c>
      <c r="I74" s="177">
        <f t="shared" si="8"/>
        <v>148.5</v>
      </c>
      <c r="J74" s="178"/>
      <c r="K74" s="178"/>
      <c r="L74" s="178"/>
      <c r="M74" s="178"/>
      <c r="N74" s="178"/>
      <c r="O74" s="178"/>
      <c r="P74" s="178"/>
      <c r="Q74" s="179"/>
    </row>
    <row r="75" spans="1:17" s="50" customFormat="1" ht="25" customHeight="1">
      <c r="A75" s="313" t="s">
        <v>225</v>
      </c>
      <c r="B75" s="273" t="s">
        <v>272</v>
      </c>
      <c r="C75" s="272">
        <v>5</v>
      </c>
      <c r="D75" s="272">
        <v>1</v>
      </c>
      <c r="E75" s="272">
        <v>3</v>
      </c>
      <c r="F75" s="180">
        <f t="shared" si="6"/>
        <v>247.5</v>
      </c>
      <c r="G75" s="268">
        <v>40</v>
      </c>
      <c r="H75" s="268">
        <f t="shared" si="7"/>
        <v>600</v>
      </c>
      <c r="I75" s="177">
        <f t="shared" si="8"/>
        <v>247.5</v>
      </c>
      <c r="J75" s="178"/>
      <c r="K75" s="178"/>
      <c r="L75" s="178"/>
      <c r="M75" s="178"/>
      <c r="N75" s="178"/>
      <c r="O75" s="178"/>
      <c r="P75" s="178"/>
      <c r="Q75" s="179"/>
    </row>
    <row r="76" spans="1:17" s="50" customFormat="1" ht="25" customHeight="1">
      <c r="A76" s="313" t="s">
        <v>226</v>
      </c>
      <c r="B76" s="273" t="s">
        <v>273</v>
      </c>
      <c r="C76" s="272">
        <v>3</v>
      </c>
      <c r="D76" s="272">
        <v>1</v>
      </c>
      <c r="E76" s="272">
        <v>3</v>
      </c>
      <c r="F76" s="180">
        <f t="shared" si="6"/>
        <v>148.5</v>
      </c>
      <c r="G76" s="268">
        <v>40</v>
      </c>
      <c r="H76" s="268">
        <f t="shared" si="7"/>
        <v>360</v>
      </c>
      <c r="I76" s="177">
        <f t="shared" si="8"/>
        <v>148.5</v>
      </c>
      <c r="J76" s="178"/>
      <c r="K76" s="178"/>
      <c r="L76" s="178"/>
      <c r="M76" s="178"/>
      <c r="N76" s="178"/>
      <c r="O76" s="178"/>
      <c r="P76" s="178"/>
      <c r="Q76" s="179"/>
    </row>
    <row r="77" spans="1:17" s="50" customFormat="1" ht="25" customHeight="1">
      <c r="A77" s="313" t="s">
        <v>227</v>
      </c>
      <c r="B77" s="273" t="s">
        <v>274</v>
      </c>
      <c r="C77" s="272">
        <v>2</v>
      </c>
      <c r="D77" s="272">
        <v>1</v>
      </c>
      <c r="E77" s="272">
        <v>3</v>
      </c>
      <c r="F77" s="180">
        <f t="shared" si="6"/>
        <v>99</v>
      </c>
      <c r="G77" s="268">
        <v>40</v>
      </c>
      <c r="H77" s="268">
        <f t="shared" si="7"/>
        <v>240</v>
      </c>
      <c r="I77" s="177">
        <f t="shared" si="8"/>
        <v>99</v>
      </c>
      <c r="J77" s="178"/>
      <c r="K77" s="178"/>
      <c r="L77" s="178"/>
      <c r="M77" s="178"/>
      <c r="N77" s="178"/>
      <c r="O77" s="178"/>
      <c r="P77" s="178"/>
      <c r="Q77" s="179"/>
    </row>
    <row r="78" spans="1:17" s="50" customFormat="1" ht="25" customHeight="1">
      <c r="A78" s="313" t="s">
        <v>228</v>
      </c>
      <c r="B78" s="273" t="s">
        <v>275</v>
      </c>
      <c r="C78" s="272">
        <v>2</v>
      </c>
      <c r="D78" s="272">
        <v>1</v>
      </c>
      <c r="E78" s="272">
        <v>3</v>
      </c>
      <c r="F78" s="180">
        <f t="shared" si="6"/>
        <v>99</v>
      </c>
      <c r="G78" s="268">
        <v>40</v>
      </c>
      <c r="H78" s="268">
        <f t="shared" si="7"/>
        <v>240</v>
      </c>
      <c r="I78" s="177">
        <f t="shared" si="8"/>
        <v>99</v>
      </c>
      <c r="J78" s="178"/>
      <c r="K78" s="178"/>
      <c r="L78" s="178"/>
      <c r="M78" s="178"/>
      <c r="N78" s="178"/>
      <c r="O78" s="178"/>
      <c r="P78" s="178"/>
      <c r="Q78" s="179"/>
    </row>
    <row r="79" spans="1:17" s="50" customFormat="1" ht="25" customHeight="1">
      <c r="A79" s="313" t="s">
        <v>229</v>
      </c>
      <c r="B79" s="273" t="s">
        <v>276</v>
      </c>
      <c r="C79" s="272">
        <v>5</v>
      </c>
      <c r="D79" s="272">
        <v>1</v>
      </c>
      <c r="E79" s="272">
        <v>3</v>
      </c>
      <c r="F79" s="180">
        <f t="shared" si="6"/>
        <v>247.5</v>
      </c>
      <c r="G79" s="268">
        <v>40</v>
      </c>
      <c r="H79" s="268">
        <f t="shared" si="7"/>
        <v>600</v>
      </c>
      <c r="I79" s="177">
        <f t="shared" si="8"/>
        <v>247.5</v>
      </c>
      <c r="J79" s="178"/>
      <c r="K79" s="178"/>
      <c r="L79" s="178"/>
      <c r="M79" s="178"/>
      <c r="N79" s="178"/>
      <c r="O79" s="178"/>
      <c r="P79" s="178"/>
      <c r="Q79" s="179"/>
    </row>
    <row r="80" spans="1:17" s="50" customFormat="1" ht="25" customHeight="1">
      <c r="A80" s="313" t="s">
        <v>280</v>
      </c>
      <c r="B80" s="273" t="s">
        <v>277</v>
      </c>
      <c r="C80" s="272">
        <v>2</v>
      </c>
      <c r="D80" s="272">
        <v>1</v>
      </c>
      <c r="E80" s="272">
        <v>3</v>
      </c>
      <c r="F80" s="180">
        <f t="shared" si="6"/>
        <v>99</v>
      </c>
      <c r="G80" s="268">
        <v>40</v>
      </c>
      <c r="H80" s="268">
        <f t="shared" si="7"/>
        <v>240</v>
      </c>
      <c r="I80" s="177">
        <f t="shared" si="8"/>
        <v>99</v>
      </c>
      <c r="J80" s="178"/>
      <c r="K80" s="178"/>
      <c r="L80" s="178"/>
      <c r="M80" s="178"/>
      <c r="N80" s="178"/>
      <c r="O80" s="178"/>
      <c r="P80" s="178"/>
      <c r="Q80" s="179"/>
    </row>
    <row r="81" spans="1:17" s="50" customFormat="1" ht="25" customHeight="1">
      <c r="A81" s="313" t="s">
        <v>281</v>
      </c>
      <c r="B81" s="285" t="s">
        <v>254</v>
      </c>
      <c r="C81" s="272">
        <v>3</v>
      </c>
      <c r="D81" s="272">
        <v>1</v>
      </c>
      <c r="E81" s="272">
        <v>5</v>
      </c>
      <c r="F81" s="180">
        <f t="shared" si="6"/>
        <v>247.5</v>
      </c>
      <c r="G81" s="268">
        <v>40</v>
      </c>
      <c r="H81" s="268">
        <f t="shared" si="7"/>
        <v>600</v>
      </c>
      <c r="I81" s="177">
        <f t="shared" si="8"/>
        <v>247.5</v>
      </c>
      <c r="J81" s="178"/>
      <c r="K81" s="178"/>
      <c r="L81" s="178"/>
      <c r="M81" s="178"/>
      <c r="N81" s="178"/>
      <c r="O81" s="178"/>
      <c r="P81" s="178"/>
      <c r="Q81" s="179"/>
    </row>
    <row r="82" spans="1:17" s="50" customFormat="1" ht="25" customHeight="1">
      <c r="A82" s="313" t="s">
        <v>282</v>
      </c>
      <c r="B82" s="285" t="s">
        <v>260</v>
      </c>
      <c r="C82" s="272">
        <v>5</v>
      </c>
      <c r="D82" s="272">
        <v>1</v>
      </c>
      <c r="E82" s="272">
        <v>5</v>
      </c>
      <c r="F82" s="180">
        <f t="shared" si="6"/>
        <v>412.5</v>
      </c>
      <c r="G82" s="268">
        <v>40</v>
      </c>
      <c r="H82" s="268">
        <f t="shared" si="7"/>
        <v>1000</v>
      </c>
      <c r="I82" s="177">
        <f t="shared" si="8"/>
        <v>412.5</v>
      </c>
      <c r="J82" s="178"/>
      <c r="K82" s="178"/>
      <c r="L82" s="178"/>
      <c r="M82" s="178"/>
      <c r="N82" s="178"/>
      <c r="O82" s="178"/>
      <c r="P82" s="178"/>
      <c r="Q82" s="179"/>
    </row>
    <row r="83" spans="1:17" s="50" customFormat="1" ht="25" customHeight="1">
      <c r="A83" s="313" t="s">
        <v>283</v>
      </c>
      <c r="B83" s="285" t="s">
        <v>278</v>
      </c>
      <c r="C83" s="272">
        <v>2</v>
      </c>
      <c r="D83" s="272">
        <v>1</v>
      </c>
      <c r="E83" s="272">
        <v>5</v>
      </c>
      <c r="F83" s="268">
        <f>SUM(F68:F82)</f>
        <v>5808</v>
      </c>
      <c r="G83" s="172">
        <f>SUM(G68:G82)</f>
        <v>600</v>
      </c>
      <c r="H83" s="172">
        <f>SUM(H68:H82)</f>
        <v>69520</v>
      </c>
      <c r="I83" s="172">
        <f>SUM(I68:I82)</f>
        <v>5808</v>
      </c>
      <c r="J83" s="178"/>
      <c r="K83" s="178"/>
      <c r="L83" s="178"/>
      <c r="M83" s="178"/>
      <c r="N83" s="178"/>
      <c r="O83" s="178"/>
      <c r="P83" s="178"/>
      <c r="Q83" s="179"/>
    </row>
    <row r="84" spans="1:17" s="50" customFormat="1" ht="25" customHeight="1">
      <c r="A84" s="313" t="s">
        <v>284</v>
      </c>
      <c r="B84" s="273" t="s">
        <v>279</v>
      </c>
      <c r="C84" s="272">
        <v>5</v>
      </c>
      <c r="D84" s="272">
        <v>1</v>
      </c>
      <c r="E84" s="272">
        <v>5</v>
      </c>
      <c r="F84" s="268">
        <v>0</v>
      </c>
      <c r="G84" s="268">
        <v>0</v>
      </c>
      <c r="H84" s="268">
        <v>0</v>
      </c>
      <c r="I84" s="268">
        <v>0</v>
      </c>
      <c r="J84" s="178"/>
      <c r="K84" s="178"/>
      <c r="L84" s="178"/>
      <c r="M84" s="178"/>
      <c r="N84" s="178"/>
      <c r="O84" s="178"/>
      <c r="P84" s="178"/>
      <c r="Q84" s="179"/>
    </row>
    <row r="85" spans="1:17" s="50" customFormat="1" ht="25" customHeight="1">
      <c r="A85" s="313" t="s">
        <v>287</v>
      </c>
      <c r="B85" s="270" t="s">
        <v>285</v>
      </c>
      <c r="C85" s="272">
        <v>3</v>
      </c>
      <c r="D85" s="272">
        <v>1</v>
      </c>
      <c r="E85" s="272">
        <v>3</v>
      </c>
      <c r="F85" s="245">
        <f>F48+F63+F83</f>
        <v>12741.8</v>
      </c>
      <c r="G85" s="187">
        <f>G48+G63+G83</f>
        <v>2437</v>
      </c>
      <c r="H85" s="187">
        <f>H48+H63+H83</f>
        <v>85906.8</v>
      </c>
      <c r="I85" s="187">
        <f>I48+I63+I83</f>
        <v>12741.8</v>
      </c>
      <c r="J85" s="188">
        <v>0</v>
      </c>
      <c r="K85" s="188">
        <v>0</v>
      </c>
      <c r="L85" s="189">
        <f>'Bieu3 GDTH'!F24</f>
        <v>2632</v>
      </c>
      <c r="M85" s="190">
        <f>'Bieu3 GDTH'!N24</f>
        <v>2402.5</v>
      </c>
      <c r="N85" s="190">
        <f>I85-M85</f>
        <v>10339.299999999999</v>
      </c>
      <c r="O85" s="191">
        <f>'Bieu3 GDTH'!O24</f>
        <v>1422.25</v>
      </c>
      <c r="P85" s="191">
        <f>'Bieu3 GDTH'!P24</f>
        <v>780</v>
      </c>
      <c r="Q85" s="192"/>
    </row>
    <row r="86" spans="1:17" s="50" customFormat="1" ht="25" customHeight="1">
      <c r="A86" s="313" t="s">
        <v>288</v>
      </c>
      <c r="B86" s="270" t="s">
        <v>263</v>
      </c>
      <c r="C86" s="272">
        <v>3</v>
      </c>
      <c r="D86" s="272">
        <v>1</v>
      </c>
      <c r="E86" s="272">
        <v>3</v>
      </c>
      <c r="F86" s="290"/>
      <c r="G86" s="289"/>
      <c r="H86" s="289"/>
      <c r="I86" s="289"/>
      <c r="J86" s="291"/>
      <c r="K86" s="291"/>
      <c r="L86" s="292"/>
      <c r="M86" s="293"/>
      <c r="N86" s="293"/>
      <c r="O86" s="294"/>
      <c r="P86" s="294"/>
      <c r="Q86" s="295"/>
    </row>
    <row r="87" spans="1:17" s="50" customFormat="1" ht="25" customHeight="1">
      <c r="A87" s="313" t="s">
        <v>289</v>
      </c>
      <c r="B87" s="270" t="s">
        <v>286</v>
      </c>
      <c r="C87" s="272">
        <v>5</v>
      </c>
      <c r="D87" s="272">
        <v>1</v>
      </c>
      <c r="E87" s="272">
        <v>3</v>
      </c>
      <c r="F87" s="290"/>
      <c r="G87" s="289"/>
      <c r="H87" s="289"/>
      <c r="I87" s="289"/>
      <c r="J87" s="291"/>
      <c r="K87" s="291"/>
      <c r="L87" s="292"/>
      <c r="M87" s="293"/>
      <c r="N87" s="293"/>
      <c r="O87" s="294"/>
      <c r="P87" s="294"/>
      <c r="Q87" s="295"/>
    </row>
    <row r="88" spans="1:17" s="50" customFormat="1" ht="25" customHeight="1">
      <c r="A88" s="313" t="s">
        <v>290</v>
      </c>
      <c r="B88" s="270" t="s">
        <v>261</v>
      </c>
      <c r="C88" s="272">
        <v>3</v>
      </c>
      <c r="D88" s="272">
        <v>1</v>
      </c>
      <c r="E88" s="272">
        <v>3</v>
      </c>
      <c r="F88" s="290"/>
      <c r="G88" s="289"/>
      <c r="H88" s="289"/>
      <c r="I88" s="289"/>
      <c r="J88" s="291"/>
      <c r="K88" s="291"/>
      <c r="L88" s="292"/>
      <c r="M88" s="293"/>
      <c r="N88" s="293"/>
      <c r="O88" s="294"/>
      <c r="P88" s="294"/>
      <c r="Q88" s="295"/>
    </row>
    <row r="89" spans="1:17" s="50" customFormat="1" ht="25" customHeight="1">
      <c r="A89" s="319"/>
      <c r="B89" s="314" t="s">
        <v>350</v>
      </c>
      <c r="C89" s="315">
        <f>SUM(C74:C88)</f>
        <v>51</v>
      </c>
      <c r="D89" s="315">
        <f>SUM(D74:D88)</f>
        <v>15</v>
      </c>
      <c r="E89" s="315">
        <f>SUM(E74:E88)</f>
        <v>53</v>
      </c>
      <c r="F89" s="290"/>
      <c r="G89" s="289"/>
      <c r="H89" s="289"/>
      <c r="I89" s="289"/>
      <c r="J89" s="291"/>
      <c r="K89" s="291"/>
      <c r="L89" s="292"/>
      <c r="M89" s="293"/>
      <c r="N89" s="293"/>
      <c r="O89" s="294"/>
      <c r="P89" s="294"/>
      <c r="Q89" s="295"/>
    </row>
    <row r="90" spans="1:17" s="50" customFormat="1" ht="25" customHeight="1">
      <c r="A90" s="316">
        <v>2</v>
      </c>
      <c r="B90" s="316" t="s">
        <v>83</v>
      </c>
      <c r="C90" s="272">
        <v>0</v>
      </c>
      <c r="D90" s="272">
        <v>0</v>
      </c>
      <c r="E90" s="272">
        <v>0</v>
      </c>
      <c r="F90" s="290"/>
      <c r="G90" s="289"/>
      <c r="H90" s="289"/>
      <c r="I90" s="289"/>
      <c r="J90" s="291"/>
      <c r="K90" s="291"/>
      <c r="L90" s="292"/>
      <c r="M90" s="293"/>
      <c r="N90" s="293"/>
      <c r="O90" s="294"/>
      <c r="P90" s="294"/>
      <c r="Q90" s="295"/>
    </row>
    <row r="91" spans="1:17" s="50" customFormat="1" ht="25" customHeight="1">
      <c r="A91" s="320"/>
      <c r="B91" s="320" t="s">
        <v>369</v>
      </c>
      <c r="C91" s="321">
        <f>C54+C69+C89</f>
        <v>191</v>
      </c>
      <c r="D91" s="321">
        <f>D54+D69+D89</f>
        <v>65.66</v>
      </c>
      <c r="E91" s="321">
        <f>E54+E69+E89</f>
        <v>206</v>
      </c>
      <c r="F91" s="290"/>
      <c r="G91" s="289"/>
      <c r="H91" s="289"/>
      <c r="I91" s="289"/>
      <c r="J91" s="291"/>
      <c r="K91" s="291"/>
      <c r="L91" s="292"/>
      <c r="M91" s="293"/>
      <c r="N91" s="293"/>
      <c r="O91" s="294"/>
      <c r="P91" s="294"/>
      <c r="Q91" s="295"/>
    </row>
    <row r="92" spans="1:17" s="50" customFormat="1" ht="25" customHeight="1">
      <c r="A92" s="168" t="s">
        <v>18</v>
      </c>
      <c r="B92" s="168" t="s">
        <v>370</v>
      </c>
      <c r="C92" s="268"/>
      <c r="D92" s="268"/>
      <c r="E92" s="268"/>
      <c r="F92" s="268"/>
      <c r="G92" s="268"/>
      <c r="H92" s="268"/>
      <c r="I92" s="178"/>
      <c r="J92" s="178"/>
      <c r="K92" s="178"/>
      <c r="L92" s="178"/>
      <c r="M92" s="178"/>
      <c r="N92" s="178"/>
      <c r="O92" s="178"/>
      <c r="P92" s="178"/>
      <c r="Q92" s="179"/>
    </row>
    <row r="93" spans="1:17" s="50" customFormat="1" ht="25" customHeight="1">
      <c r="A93" s="193" t="s">
        <v>372</v>
      </c>
      <c r="B93" s="193" t="s">
        <v>373</v>
      </c>
      <c r="C93" s="268"/>
      <c r="D93" s="268"/>
      <c r="E93" s="268"/>
      <c r="F93" s="268"/>
      <c r="G93" s="268"/>
      <c r="H93" s="268"/>
      <c r="I93" s="178"/>
      <c r="J93" s="178"/>
      <c r="K93" s="178"/>
      <c r="L93" s="178"/>
      <c r="M93" s="178"/>
      <c r="N93" s="178"/>
      <c r="O93" s="178"/>
      <c r="P93" s="178"/>
      <c r="Q93" s="179"/>
    </row>
    <row r="94" spans="1:17" s="50" customFormat="1" ht="25" customHeight="1">
      <c r="A94" s="193">
        <v>1</v>
      </c>
      <c r="B94" s="193" t="s">
        <v>374</v>
      </c>
      <c r="C94" s="268"/>
      <c r="D94" s="268"/>
      <c r="E94" s="268"/>
      <c r="F94" s="268"/>
      <c r="G94" s="268"/>
      <c r="H94" s="268"/>
      <c r="I94" s="178"/>
      <c r="J94" s="178"/>
      <c r="K94" s="178"/>
      <c r="L94" s="178"/>
      <c r="M94" s="178"/>
      <c r="N94" s="178"/>
      <c r="O94" s="178"/>
      <c r="P94" s="178"/>
      <c r="Q94" s="179"/>
    </row>
    <row r="95" spans="1:17" s="50" customFormat="1" ht="25" customHeight="1">
      <c r="A95" s="194" t="s">
        <v>145</v>
      </c>
      <c r="B95" s="195" t="s">
        <v>159</v>
      </c>
      <c r="C95" s="268"/>
      <c r="D95" s="268"/>
      <c r="E95" s="268"/>
      <c r="F95" s="268"/>
      <c r="G95" s="268"/>
      <c r="H95" s="268"/>
      <c r="I95" s="178"/>
      <c r="J95" s="178"/>
      <c r="K95" s="178"/>
      <c r="L95" s="178"/>
      <c r="M95" s="178"/>
      <c r="N95" s="178"/>
      <c r="O95" s="178"/>
      <c r="P95" s="178"/>
      <c r="Q95" s="179"/>
    </row>
    <row r="96" spans="1:17" s="50" customFormat="1" ht="25" customHeight="1">
      <c r="A96" s="269" t="s">
        <v>224</v>
      </c>
      <c r="B96" s="270" t="s">
        <v>581</v>
      </c>
      <c r="C96" s="271">
        <v>3</v>
      </c>
      <c r="D96" s="271">
        <v>1</v>
      </c>
      <c r="E96" s="271">
        <v>3</v>
      </c>
      <c r="F96" s="180">
        <f t="shared" ref="F96:F119" si="9">I96+J96+K96</f>
        <v>148.5</v>
      </c>
      <c r="G96" s="196">
        <v>60</v>
      </c>
      <c r="H96" s="268">
        <f t="shared" ref="H96:H118" si="10">C96*D96*E96*G96</f>
        <v>540</v>
      </c>
      <c r="I96" s="177">
        <f t="shared" ref="I96:I110" si="11">IF(G96&lt;70, C96*E96*16.5*1, C96*E96*16.5*1.3)</f>
        <v>148.5</v>
      </c>
      <c r="J96" s="197"/>
      <c r="K96" s="197"/>
      <c r="L96" s="178"/>
      <c r="M96" s="178"/>
      <c r="N96" s="178"/>
      <c r="O96" s="178"/>
      <c r="P96" s="178"/>
      <c r="Q96" s="179"/>
    </row>
    <row r="97" spans="1:17" s="50" customFormat="1" ht="25" customHeight="1">
      <c r="A97" s="269" t="s">
        <v>225</v>
      </c>
      <c r="B97" s="270" t="s">
        <v>582</v>
      </c>
      <c r="C97" s="271">
        <v>4</v>
      </c>
      <c r="D97" s="271">
        <v>1.3</v>
      </c>
      <c r="E97" s="271">
        <v>3</v>
      </c>
      <c r="F97" s="180">
        <f t="shared" si="9"/>
        <v>257.40000000000003</v>
      </c>
      <c r="G97" s="196">
        <v>70</v>
      </c>
      <c r="H97" s="268">
        <f t="shared" si="10"/>
        <v>1092</v>
      </c>
      <c r="I97" s="177">
        <f t="shared" si="11"/>
        <v>257.40000000000003</v>
      </c>
      <c r="J97" s="197"/>
      <c r="K97" s="197"/>
      <c r="L97" s="178"/>
      <c r="M97" s="178"/>
      <c r="N97" s="178"/>
      <c r="O97" s="178"/>
      <c r="P97" s="178"/>
      <c r="Q97" s="179"/>
    </row>
    <row r="98" spans="1:17" s="50" customFormat="1" ht="25" customHeight="1">
      <c r="A98" s="269" t="s">
        <v>226</v>
      </c>
      <c r="B98" s="270" t="s">
        <v>583</v>
      </c>
      <c r="C98" s="271">
        <v>1</v>
      </c>
      <c r="D98" s="271">
        <v>1.3</v>
      </c>
      <c r="E98" s="271">
        <v>8</v>
      </c>
      <c r="F98" s="180">
        <f t="shared" si="9"/>
        <v>132</v>
      </c>
      <c r="G98" s="196">
        <v>20</v>
      </c>
      <c r="H98" s="268">
        <f t="shared" si="10"/>
        <v>208</v>
      </c>
      <c r="I98" s="177">
        <f t="shared" si="11"/>
        <v>132</v>
      </c>
      <c r="J98" s="197"/>
      <c r="K98" s="197"/>
      <c r="L98" s="178"/>
      <c r="M98" s="178"/>
      <c r="N98" s="178"/>
      <c r="O98" s="178"/>
      <c r="P98" s="178"/>
      <c r="Q98" s="179"/>
    </row>
    <row r="99" spans="1:17" s="50" customFormat="1" ht="25" customHeight="1">
      <c r="A99" s="269" t="s">
        <v>226</v>
      </c>
      <c r="B99" s="270" t="s">
        <v>584</v>
      </c>
      <c r="C99" s="271">
        <v>1</v>
      </c>
      <c r="D99" s="271">
        <v>1.3</v>
      </c>
      <c r="E99" s="271">
        <v>8</v>
      </c>
      <c r="F99" s="180">
        <f t="shared" si="9"/>
        <v>132</v>
      </c>
      <c r="G99" s="196">
        <v>20</v>
      </c>
      <c r="H99" s="268">
        <f t="shared" si="10"/>
        <v>208</v>
      </c>
      <c r="I99" s="177">
        <f t="shared" si="11"/>
        <v>132</v>
      </c>
      <c r="J99" s="197"/>
      <c r="K99" s="197"/>
      <c r="L99" s="178"/>
      <c r="M99" s="178"/>
      <c r="N99" s="178"/>
      <c r="O99" s="178"/>
      <c r="P99" s="178"/>
      <c r="Q99" s="179"/>
    </row>
    <row r="100" spans="1:17" s="50" customFormat="1" ht="25" customHeight="1">
      <c r="A100" s="269" t="s">
        <v>227</v>
      </c>
      <c r="B100" s="270" t="s">
        <v>585</v>
      </c>
      <c r="C100" s="271">
        <v>1</v>
      </c>
      <c r="D100" s="271">
        <v>1.3</v>
      </c>
      <c r="E100" s="271">
        <v>7</v>
      </c>
      <c r="F100" s="180">
        <f t="shared" si="9"/>
        <v>115.5</v>
      </c>
      <c r="G100" s="196">
        <v>60</v>
      </c>
      <c r="H100" s="268">
        <f t="shared" si="10"/>
        <v>546</v>
      </c>
      <c r="I100" s="177">
        <f t="shared" si="11"/>
        <v>115.5</v>
      </c>
      <c r="J100" s="197"/>
      <c r="K100" s="197"/>
      <c r="L100" s="178"/>
      <c r="M100" s="178"/>
      <c r="N100" s="178"/>
      <c r="O100" s="178"/>
      <c r="P100" s="178"/>
      <c r="Q100" s="179"/>
    </row>
    <row r="101" spans="1:17" s="50" customFormat="1" ht="25" customHeight="1">
      <c r="A101" s="269" t="s">
        <v>228</v>
      </c>
      <c r="B101" s="270" t="s">
        <v>380</v>
      </c>
      <c r="C101" s="271">
        <v>4</v>
      </c>
      <c r="D101" s="271">
        <v>1</v>
      </c>
      <c r="E101" s="271">
        <v>3</v>
      </c>
      <c r="F101" s="180">
        <f t="shared" si="9"/>
        <v>198</v>
      </c>
      <c r="G101" s="196">
        <v>25</v>
      </c>
      <c r="H101" s="268">
        <f t="shared" si="10"/>
        <v>300</v>
      </c>
      <c r="I101" s="177">
        <f t="shared" si="11"/>
        <v>198</v>
      </c>
      <c r="J101" s="197"/>
      <c r="K101" s="197"/>
      <c r="L101" s="178"/>
      <c r="M101" s="178"/>
      <c r="N101" s="178"/>
      <c r="O101" s="178"/>
      <c r="P101" s="178"/>
      <c r="Q101" s="179"/>
    </row>
    <row r="102" spans="1:17" s="50" customFormat="1" ht="25" customHeight="1">
      <c r="A102" s="269" t="s">
        <v>280</v>
      </c>
      <c r="B102" s="270" t="s">
        <v>586</v>
      </c>
      <c r="C102" s="271">
        <v>2</v>
      </c>
      <c r="D102" s="271">
        <v>1</v>
      </c>
      <c r="E102" s="271">
        <v>3</v>
      </c>
      <c r="F102" s="180">
        <f t="shared" si="9"/>
        <v>128.70000000000002</v>
      </c>
      <c r="G102" s="196">
        <v>70</v>
      </c>
      <c r="H102" s="268">
        <f t="shared" si="10"/>
        <v>420</v>
      </c>
      <c r="I102" s="177">
        <f t="shared" si="11"/>
        <v>128.70000000000002</v>
      </c>
      <c r="J102" s="197"/>
      <c r="K102" s="197"/>
      <c r="L102" s="178"/>
      <c r="M102" s="178"/>
      <c r="N102" s="178"/>
      <c r="O102" s="178"/>
      <c r="P102" s="178"/>
      <c r="Q102" s="179"/>
    </row>
    <row r="103" spans="1:17" s="50" customFormat="1" ht="25" customHeight="1">
      <c r="A103" s="269" t="s">
        <v>281</v>
      </c>
      <c r="B103" s="270" t="s">
        <v>587</v>
      </c>
      <c r="C103" s="271">
        <v>3</v>
      </c>
      <c r="D103" s="271">
        <v>1</v>
      </c>
      <c r="E103" s="271">
        <v>2</v>
      </c>
      <c r="F103" s="180">
        <f t="shared" si="9"/>
        <v>99</v>
      </c>
      <c r="G103" s="196">
        <v>60</v>
      </c>
      <c r="H103" s="268">
        <f t="shared" si="10"/>
        <v>360</v>
      </c>
      <c r="I103" s="177">
        <f t="shared" si="11"/>
        <v>99</v>
      </c>
      <c r="J103" s="197"/>
      <c r="K103" s="197"/>
      <c r="L103" s="178"/>
      <c r="M103" s="178"/>
      <c r="N103" s="178"/>
      <c r="O103" s="178"/>
      <c r="P103" s="178"/>
      <c r="Q103" s="179"/>
    </row>
    <row r="104" spans="1:17" s="50" customFormat="1" ht="25" customHeight="1">
      <c r="A104" s="269" t="s">
        <v>282</v>
      </c>
      <c r="B104" s="270" t="s">
        <v>588</v>
      </c>
      <c r="C104" s="271">
        <v>3</v>
      </c>
      <c r="D104" s="271">
        <v>1.1000000000000001</v>
      </c>
      <c r="E104" s="271">
        <v>3</v>
      </c>
      <c r="F104" s="180">
        <f t="shared" si="9"/>
        <v>193.05</v>
      </c>
      <c r="G104" s="196">
        <v>70</v>
      </c>
      <c r="H104" s="268">
        <f t="shared" si="10"/>
        <v>693</v>
      </c>
      <c r="I104" s="177">
        <f t="shared" si="11"/>
        <v>193.05</v>
      </c>
      <c r="J104" s="197"/>
      <c r="K104" s="197"/>
      <c r="L104" s="178"/>
      <c r="M104" s="178"/>
      <c r="N104" s="178"/>
      <c r="O104" s="178"/>
      <c r="P104" s="178"/>
      <c r="Q104" s="179"/>
    </row>
    <row r="105" spans="1:17" s="50" customFormat="1" ht="25" customHeight="1">
      <c r="A105" s="269" t="s">
        <v>283</v>
      </c>
      <c r="B105" s="270" t="s">
        <v>589</v>
      </c>
      <c r="C105" s="272">
        <v>3</v>
      </c>
      <c r="D105" s="272">
        <v>1</v>
      </c>
      <c r="E105" s="272">
        <v>2</v>
      </c>
      <c r="F105" s="180">
        <f t="shared" si="9"/>
        <v>128.70000000000002</v>
      </c>
      <c r="G105" s="198">
        <v>70</v>
      </c>
      <c r="H105" s="268">
        <f t="shared" si="10"/>
        <v>420</v>
      </c>
      <c r="I105" s="177">
        <f t="shared" si="11"/>
        <v>128.70000000000002</v>
      </c>
      <c r="J105" s="197"/>
      <c r="K105" s="197"/>
      <c r="L105" s="178"/>
      <c r="M105" s="178"/>
      <c r="N105" s="178"/>
      <c r="O105" s="178"/>
      <c r="P105" s="178"/>
      <c r="Q105" s="179"/>
    </row>
    <row r="106" spans="1:17" s="50" customFormat="1" ht="25" customHeight="1">
      <c r="A106" s="269" t="s">
        <v>284</v>
      </c>
      <c r="B106" s="270" t="s">
        <v>590</v>
      </c>
      <c r="C106" s="272">
        <v>4</v>
      </c>
      <c r="D106" s="272">
        <v>1</v>
      </c>
      <c r="E106" s="272">
        <v>3</v>
      </c>
      <c r="F106" s="180">
        <f t="shared" si="9"/>
        <v>257.40000000000003</v>
      </c>
      <c r="G106" s="198">
        <v>70</v>
      </c>
      <c r="H106" s="268">
        <f t="shared" si="10"/>
        <v>840</v>
      </c>
      <c r="I106" s="177">
        <f t="shared" si="11"/>
        <v>257.40000000000003</v>
      </c>
      <c r="J106" s="197"/>
      <c r="K106" s="197"/>
      <c r="L106" s="178"/>
      <c r="M106" s="178"/>
      <c r="N106" s="178"/>
      <c r="O106" s="178"/>
      <c r="P106" s="178"/>
      <c r="Q106" s="179"/>
    </row>
    <row r="107" spans="1:17" s="50" customFormat="1" ht="25" customHeight="1">
      <c r="A107" s="269" t="s">
        <v>287</v>
      </c>
      <c r="B107" s="270" t="s">
        <v>591</v>
      </c>
      <c r="C107" s="272">
        <v>2</v>
      </c>
      <c r="D107" s="272">
        <v>1.3</v>
      </c>
      <c r="E107" s="272">
        <v>6</v>
      </c>
      <c r="F107" s="180">
        <f t="shared" si="9"/>
        <v>198</v>
      </c>
      <c r="G107" s="198">
        <v>25</v>
      </c>
      <c r="H107" s="268">
        <f t="shared" si="10"/>
        <v>390.00000000000006</v>
      </c>
      <c r="I107" s="177">
        <f t="shared" si="11"/>
        <v>198</v>
      </c>
      <c r="J107" s="197"/>
      <c r="K107" s="197"/>
      <c r="L107" s="178"/>
      <c r="M107" s="178"/>
      <c r="N107" s="178"/>
      <c r="O107" s="178"/>
      <c r="P107" s="178"/>
      <c r="Q107" s="179"/>
    </row>
    <row r="108" spans="1:17" s="50" customFormat="1" ht="25" customHeight="1">
      <c r="A108" s="269" t="s">
        <v>288</v>
      </c>
      <c r="B108" s="270" t="s">
        <v>592</v>
      </c>
      <c r="C108" s="272">
        <v>3</v>
      </c>
      <c r="D108" s="272">
        <v>1</v>
      </c>
      <c r="E108" s="272">
        <v>2</v>
      </c>
      <c r="F108" s="180">
        <f t="shared" si="9"/>
        <v>128.70000000000002</v>
      </c>
      <c r="G108" s="198">
        <v>70</v>
      </c>
      <c r="H108" s="268">
        <f t="shared" si="10"/>
        <v>420</v>
      </c>
      <c r="I108" s="177">
        <f t="shared" si="11"/>
        <v>128.70000000000002</v>
      </c>
      <c r="J108" s="197"/>
      <c r="K108" s="197"/>
      <c r="L108" s="178"/>
      <c r="M108" s="178"/>
      <c r="N108" s="178"/>
      <c r="O108" s="178"/>
      <c r="P108" s="178"/>
      <c r="Q108" s="179"/>
    </row>
    <row r="109" spans="1:17" s="50" customFormat="1" ht="25" customHeight="1">
      <c r="A109" s="269" t="s">
        <v>289</v>
      </c>
      <c r="B109" s="270" t="s">
        <v>492</v>
      </c>
      <c r="C109" s="272">
        <v>2</v>
      </c>
      <c r="D109" s="272">
        <v>1</v>
      </c>
      <c r="E109" s="272">
        <v>1</v>
      </c>
      <c r="F109" s="180">
        <f t="shared" si="9"/>
        <v>33</v>
      </c>
      <c r="G109" s="198">
        <v>40</v>
      </c>
      <c r="H109" s="268">
        <f t="shared" si="10"/>
        <v>80</v>
      </c>
      <c r="I109" s="177">
        <f t="shared" si="11"/>
        <v>33</v>
      </c>
      <c r="J109" s="197"/>
      <c r="K109" s="197"/>
      <c r="L109" s="178"/>
      <c r="M109" s="178"/>
      <c r="N109" s="178"/>
      <c r="O109" s="178"/>
      <c r="P109" s="178"/>
      <c r="Q109" s="179"/>
    </row>
    <row r="110" spans="1:17" s="50" customFormat="1" ht="25" customHeight="1">
      <c r="A110" s="269" t="s">
        <v>290</v>
      </c>
      <c r="B110" s="273" t="s">
        <v>593</v>
      </c>
      <c r="C110" s="272">
        <v>4</v>
      </c>
      <c r="D110" s="272">
        <v>1</v>
      </c>
      <c r="E110" s="272">
        <v>3</v>
      </c>
      <c r="F110" s="180">
        <f t="shared" si="9"/>
        <v>257.40000000000003</v>
      </c>
      <c r="G110" s="198">
        <v>70</v>
      </c>
      <c r="H110" s="268">
        <f t="shared" si="10"/>
        <v>840</v>
      </c>
      <c r="I110" s="177">
        <f t="shared" si="11"/>
        <v>257.40000000000003</v>
      </c>
      <c r="J110" s="172">
        <v>0</v>
      </c>
      <c r="K110" s="172">
        <v>0</v>
      </c>
      <c r="L110" s="178"/>
      <c r="M110" s="178"/>
      <c r="N110" s="178"/>
      <c r="O110" s="178"/>
      <c r="P110" s="178"/>
      <c r="Q110" s="179"/>
    </row>
    <row r="111" spans="1:17" s="50" customFormat="1" ht="25" customHeight="1">
      <c r="A111" s="269" t="s">
        <v>390</v>
      </c>
      <c r="B111" s="273" t="s">
        <v>594</v>
      </c>
      <c r="C111" s="272">
        <v>3</v>
      </c>
      <c r="D111" s="272">
        <v>1.2</v>
      </c>
      <c r="E111" s="272">
        <v>2</v>
      </c>
      <c r="F111" s="180">
        <f t="shared" si="9"/>
        <v>30</v>
      </c>
      <c r="G111" s="198">
        <v>25</v>
      </c>
      <c r="H111" s="268">
        <f t="shared" si="10"/>
        <v>179.99999999999997</v>
      </c>
      <c r="I111" s="177">
        <f>E111*15</f>
        <v>30</v>
      </c>
      <c r="J111" s="178"/>
      <c r="K111" s="178"/>
      <c r="L111" s="178"/>
      <c r="M111" s="178"/>
      <c r="N111" s="178"/>
      <c r="O111" s="178"/>
      <c r="P111" s="178"/>
      <c r="Q111" s="179"/>
    </row>
    <row r="112" spans="1:17" s="50" customFormat="1" ht="25" customHeight="1">
      <c r="A112" s="269" t="s">
        <v>391</v>
      </c>
      <c r="B112" s="273" t="s">
        <v>595</v>
      </c>
      <c r="C112" s="272">
        <v>4</v>
      </c>
      <c r="D112" s="272">
        <v>1</v>
      </c>
      <c r="E112" s="272">
        <v>3</v>
      </c>
      <c r="F112" s="180">
        <f t="shared" si="9"/>
        <v>198</v>
      </c>
      <c r="G112" s="198">
        <v>25</v>
      </c>
      <c r="H112" s="268">
        <f t="shared" si="10"/>
        <v>300</v>
      </c>
      <c r="I112" s="176"/>
      <c r="J112" s="177">
        <f>IF(G112&lt;70, C112*E112*16.5*1, C112*E112*16.5*1.3)</f>
        <v>198</v>
      </c>
      <c r="K112" s="178"/>
      <c r="L112" s="178"/>
      <c r="M112" s="178"/>
      <c r="N112" s="178"/>
      <c r="O112" s="178"/>
      <c r="P112" s="178"/>
      <c r="Q112" s="179"/>
    </row>
    <row r="113" spans="1:17" s="50" customFormat="1" ht="25" customHeight="1">
      <c r="A113" s="269" t="s">
        <v>392</v>
      </c>
      <c r="B113" s="273" t="s">
        <v>596</v>
      </c>
      <c r="C113" s="272">
        <v>4</v>
      </c>
      <c r="D113" s="272">
        <v>1</v>
      </c>
      <c r="E113" s="272">
        <v>3</v>
      </c>
      <c r="F113" s="180">
        <f t="shared" si="9"/>
        <v>257.40000000000003</v>
      </c>
      <c r="G113" s="198">
        <v>70</v>
      </c>
      <c r="H113" s="268">
        <f t="shared" si="10"/>
        <v>840</v>
      </c>
      <c r="I113" s="177">
        <f>IF(G113&lt;70, C113*E113*16.5*1, C113*E113*16.5*1.3)</f>
        <v>257.40000000000003</v>
      </c>
      <c r="J113" s="178"/>
      <c r="K113" s="178"/>
      <c r="L113" s="178"/>
      <c r="M113" s="178"/>
      <c r="N113" s="178"/>
      <c r="O113" s="178"/>
      <c r="P113" s="178"/>
      <c r="Q113" s="179"/>
    </row>
    <row r="114" spans="1:17" s="50" customFormat="1" ht="25" customHeight="1">
      <c r="A114" s="269" t="s">
        <v>393</v>
      </c>
      <c r="B114" s="273" t="s">
        <v>371</v>
      </c>
      <c r="C114" s="272">
        <v>2</v>
      </c>
      <c r="D114" s="272">
        <v>1.3</v>
      </c>
      <c r="E114" s="272">
        <v>2</v>
      </c>
      <c r="F114" s="180">
        <f t="shared" si="9"/>
        <v>85.8</v>
      </c>
      <c r="G114" s="198">
        <v>70</v>
      </c>
      <c r="H114" s="268">
        <f t="shared" si="10"/>
        <v>364</v>
      </c>
      <c r="I114" s="177">
        <f t="shared" ref="I114:I119" si="12">IF(G114&lt;70, C114*E114*16.5*1, C114*E114*16.5*1.3)</f>
        <v>85.8</v>
      </c>
      <c r="J114" s="178"/>
      <c r="K114" s="178"/>
      <c r="L114" s="178"/>
      <c r="M114" s="178"/>
      <c r="N114" s="178"/>
      <c r="O114" s="178"/>
      <c r="P114" s="178"/>
      <c r="Q114" s="179"/>
    </row>
    <row r="115" spans="1:17" s="50" customFormat="1" ht="25" customHeight="1">
      <c r="A115" s="269" t="s">
        <v>394</v>
      </c>
      <c r="B115" s="273" t="s">
        <v>597</v>
      </c>
      <c r="C115" s="272">
        <v>4</v>
      </c>
      <c r="D115" s="272">
        <v>1.3</v>
      </c>
      <c r="E115" s="272">
        <v>3</v>
      </c>
      <c r="F115" s="180">
        <f t="shared" si="9"/>
        <v>257.40000000000003</v>
      </c>
      <c r="G115" s="198">
        <v>70</v>
      </c>
      <c r="H115" s="268">
        <f t="shared" si="10"/>
        <v>1092</v>
      </c>
      <c r="I115" s="177">
        <f t="shared" si="12"/>
        <v>257.40000000000003</v>
      </c>
      <c r="J115" s="178"/>
      <c r="K115" s="178"/>
      <c r="L115" s="178"/>
      <c r="M115" s="178"/>
      <c r="N115" s="178"/>
      <c r="O115" s="178"/>
      <c r="P115" s="178"/>
      <c r="Q115" s="179"/>
    </row>
    <row r="116" spans="1:17" s="50" customFormat="1" ht="25" customHeight="1">
      <c r="A116" s="269"/>
      <c r="B116" s="273" t="s">
        <v>598</v>
      </c>
      <c r="C116" s="272">
        <v>3</v>
      </c>
      <c r="D116" s="272">
        <v>1</v>
      </c>
      <c r="E116" s="272">
        <v>2</v>
      </c>
      <c r="F116" s="180">
        <f t="shared" si="9"/>
        <v>128.70000000000002</v>
      </c>
      <c r="G116" s="198">
        <v>70</v>
      </c>
      <c r="H116" s="268">
        <f t="shared" si="10"/>
        <v>420</v>
      </c>
      <c r="I116" s="177">
        <f t="shared" si="12"/>
        <v>128.70000000000002</v>
      </c>
      <c r="J116" s="197">
        <v>0</v>
      </c>
      <c r="K116" s="197">
        <v>0</v>
      </c>
      <c r="L116" s="178"/>
      <c r="M116" s="178"/>
      <c r="N116" s="178"/>
      <c r="O116" s="178"/>
      <c r="P116" s="178"/>
      <c r="Q116" s="179"/>
    </row>
    <row r="117" spans="1:17" s="50" customFormat="1" ht="25" customHeight="1">
      <c r="A117" s="269" t="s">
        <v>395</v>
      </c>
      <c r="B117" s="273" t="s">
        <v>599</v>
      </c>
      <c r="C117" s="272">
        <v>2</v>
      </c>
      <c r="D117" s="272">
        <v>1.3</v>
      </c>
      <c r="E117" s="272">
        <v>2</v>
      </c>
      <c r="F117" s="180">
        <f t="shared" si="9"/>
        <v>85.8</v>
      </c>
      <c r="G117" s="198">
        <v>70</v>
      </c>
      <c r="H117" s="268">
        <f t="shared" si="10"/>
        <v>364</v>
      </c>
      <c r="I117" s="177">
        <f t="shared" si="12"/>
        <v>85.8</v>
      </c>
      <c r="J117" s="197">
        <v>0</v>
      </c>
      <c r="K117" s="197">
        <v>0</v>
      </c>
      <c r="L117" s="178"/>
      <c r="M117" s="178"/>
      <c r="N117" s="178"/>
      <c r="O117" s="178"/>
      <c r="P117" s="178"/>
      <c r="Q117" s="179"/>
    </row>
    <row r="118" spans="1:17" s="50" customFormat="1" ht="25" customHeight="1">
      <c r="A118" s="269"/>
      <c r="B118" s="273" t="s">
        <v>600</v>
      </c>
      <c r="C118" s="272">
        <v>4</v>
      </c>
      <c r="D118" s="272">
        <v>1</v>
      </c>
      <c r="E118" s="272">
        <v>3</v>
      </c>
      <c r="F118" s="180">
        <f t="shared" si="9"/>
        <v>257.40000000000003</v>
      </c>
      <c r="G118" s="268">
        <v>70</v>
      </c>
      <c r="H118" s="268">
        <f t="shared" si="10"/>
        <v>840</v>
      </c>
      <c r="I118" s="177">
        <f t="shared" si="12"/>
        <v>257.40000000000003</v>
      </c>
      <c r="J118" s="197">
        <v>0</v>
      </c>
      <c r="K118" s="197">
        <v>0</v>
      </c>
      <c r="L118" s="178"/>
      <c r="M118" s="178"/>
      <c r="N118" s="178"/>
      <c r="O118" s="178"/>
      <c r="P118" s="178"/>
      <c r="Q118" s="179"/>
    </row>
    <row r="119" spans="1:17" s="50" customFormat="1" ht="25" customHeight="1">
      <c r="A119" s="269" t="s">
        <v>396</v>
      </c>
      <c r="B119" s="273" t="s">
        <v>601</v>
      </c>
      <c r="C119" s="272">
        <v>4</v>
      </c>
      <c r="D119" s="272">
        <v>1.1200000000000001</v>
      </c>
      <c r="E119" s="272">
        <v>3</v>
      </c>
      <c r="F119" s="180">
        <f t="shared" si="9"/>
        <v>198</v>
      </c>
      <c r="G119" s="198">
        <v>24</v>
      </c>
      <c r="H119" s="268">
        <f>C119*D119*E119*G119</f>
        <v>322.56000000000006</v>
      </c>
      <c r="I119" s="177">
        <f t="shared" si="12"/>
        <v>198</v>
      </c>
      <c r="J119" s="197"/>
      <c r="K119" s="197"/>
      <c r="L119" s="178"/>
      <c r="M119" s="178"/>
      <c r="N119" s="178"/>
      <c r="O119" s="178"/>
      <c r="P119" s="178"/>
      <c r="Q119" s="179"/>
    </row>
    <row r="120" spans="1:17" s="50" customFormat="1" ht="25" customHeight="1">
      <c r="A120" s="269"/>
      <c r="B120" s="273"/>
      <c r="C120" s="272">
        <f>SUM(C96:C119)</f>
        <v>70</v>
      </c>
      <c r="D120" s="272">
        <f>SUM(D96:D119)</f>
        <v>26.820000000000004</v>
      </c>
      <c r="E120" s="272">
        <f>SUM(E96:E119)</f>
        <v>80</v>
      </c>
      <c r="F120" s="186"/>
      <c r="G120" s="186"/>
      <c r="H120" s="186"/>
      <c r="I120" s="172"/>
      <c r="J120" s="172"/>
      <c r="K120" s="172"/>
      <c r="L120" s="178"/>
      <c r="M120" s="178"/>
      <c r="N120" s="178"/>
      <c r="O120" s="178"/>
      <c r="P120" s="178"/>
      <c r="Q120" s="179"/>
    </row>
    <row r="121" spans="1:17" s="50" customFormat="1" ht="25" customHeight="1">
      <c r="A121" s="282" t="s">
        <v>146</v>
      </c>
      <c r="B121" s="283" t="s">
        <v>149</v>
      </c>
      <c r="C121" s="276"/>
      <c r="D121" s="276"/>
      <c r="E121" s="276"/>
      <c r="F121" s="186"/>
      <c r="G121" s="186"/>
      <c r="H121" s="186"/>
      <c r="I121" s="172"/>
      <c r="J121" s="172"/>
      <c r="K121" s="172"/>
      <c r="L121" s="178"/>
      <c r="M121" s="178"/>
      <c r="N121" s="178"/>
      <c r="O121" s="178"/>
      <c r="P121" s="178"/>
      <c r="Q121" s="179"/>
    </row>
    <row r="122" spans="1:17" s="50" customFormat="1" ht="25" customHeight="1">
      <c r="A122" s="274" t="s">
        <v>230</v>
      </c>
      <c r="B122" s="275" t="s">
        <v>152</v>
      </c>
      <c r="C122" s="276"/>
      <c r="D122" s="276"/>
      <c r="E122" s="276"/>
      <c r="F122" s="186"/>
      <c r="G122" s="186"/>
      <c r="H122" s="186"/>
      <c r="I122" s="172"/>
      <c r="J122" s="172"/>
      <c r="K122" s="172"/>
      <c r="L122" s="178"/>
      <c r="M122" s="178"/>
      <c r="N122" s="178"/>
      <c r="O122" s="178"/>
      <c r="P122" s="178"/>
      <c r="Q122" s="179"/>
    </row>
    <row r="123" spans="1:17" s="50" customFormat="1" ht="25" customHeight="1">
      <c r="A123" s="274" t="s">
        <v>231</v>
      </c>
      <c r="B123" s="275" t="s">
        <v>151</v>
      </c>
      <c r="C123" s="276"/>
      <c r="D123" s="276"/>
      <c r="E123" s="276"/>
      <c r="F123" s="186"/>
      <c r="G123" s="186"/>
      <c r="H123" s="186"/>
      <c r="I123" s="172"/>
      <c r="J123" s="172"/>
      <c r="K123" s="172"/>
      <c r="L123" s="178"/>
      <c r="M123" s="178"/>
      <c r="N123" s="178"/>
      <c r="O123" s="178"/>
      <c r="P123" s="178"/>
      <c r="Q123" s="179"/>
    </row>
    <row r="124" spans="1:17" s="50" customFormat="1" ht="25" customHeight="1">
      <c r="A124" s="274" t="s">
        <v>232</v>
      </c>
      <c r="B124" s="275" t="s">
        <v>153</v>
      </c>
      <c r="C124" s="276"/>
      <c r="D124" s="276"/>
      <c r="E124" s="276"/>
      <c r="F124" s="253">
        <f>I124</f>
        <v>0</v>
      </c>
      <c r="G124" s="186">
        <v>25</v>
      </c>
      <c r="H124" s="268">
        <f>C124*D124*E124*G124</f>
        <v>0</v>
      </c>
      <c r="I124" s="180">
        <f>2*G124*E124</f>
        <v>0</v>
      </c>
      <c r="J124" s="172"/>
      <c r="K124" s="172"/>
      <c r="L124" s="178"/>
      <c r="M124" s="178"/>
      <c r="N124" s="178"/>
      <c r="O124" s="178"/>
      <c r="P124" s="178"/>
      <c r="Q124" s="179"/>
    </row>
    <row r="125" spans="1:17" s="50" customFormat="1" ht="25" customHeight="1">
      <c r="A125" s="274" t="s">
        <v>233</v>
      </c>
      <c r="B125" s="275" t="s">
        <v>154</v>
      </c>
      <c r="C125" s="276">
        <v>4</v>
      </c>
      <c r="D125" s="276">
        <v>1.4</v>
      </c>
      <c r="E125" s="276">
        <v>6</v>
      </c>
      <c r="F125" s="186"/>
      <c r="G125" s="186"/>
      <c r="H125" s="186"/>
      <c r="I125" s="172"/>
      <c r="J125" s="172"/>
      <c r="K125" s="172"/>
      <c r="L125" s="178"/>
      <c r="M125" s="178"/>
      <c r="N125" s="178"/>
      <c r="O125" s="178"/>
      <c r="P125" s="178"/>
      <c r="Q125" s="179"/>
    </row>
    <row r="126" spans="1:17" s="50" customFormat="1" ht="25" customHeight="1">
      <c r="A126" s="274" t="s">
        <v>234</v>
      </c>
      <c r="B126" s="275" t="s">
        <v>155</v>
      </c>
      <c r="C126" s="276"/>
      <c r="D126" s="276"/>
      <c r="E126" s="276"/>
      <c r="F126" s="268">
        <f t="shared" ref="F126:K126" si="13">SUM(F96:F125)</f>
        <v>3905.8500000000008</v>
      </c>
      <c r="G126" s="172">
        <f t="shared" si="13"/>
        <v>1319</v>
      </c>
      <c r="H126" s="172">
        <f t="shared" si="13"/>
        <v>12079.56</v>
      </c>
      <c r="I126" s="172">
        <f t="shared" si="13"/>
        <v>3707.8500000000008</v>
      </c>
      <c r="J126" s="172">
        <f t="shared" si="13"/>
        <v>198</v>
      </c>
      <c r="K126" s="172">
        <f t="shared" si="13"/>
        <v>0</v>
      </c>
      <c r="L126" s="178"/>
      <c r="M126" s="178"/>
      <c r="N126" s="178"/>
      <c r="O126" s="178"/>
      <c r="P126" s="178"/>
      <c r="Q126" s="179"/>
    </row>
    <row r="127" spans="1:17" s="50" customFormat="1" ht="25" customHeight="1">
      <c r="A127" s="274"/>
      <c r="B127" s="286" t="s">
        <v>375</v>
      </c>
      <c r="C127" s="276">
        <v>4</v>
      </c>
      <c r="D127" s="276">
        <v>1.4</v>
      </c>
      <c r="E127" s="276">
        <v>6</v>
      </c>
      <c r="F127" s="268"/>
      <c r="G127" s="172"/>
      <c r="H127" s="172"/>
      <c r="I127" s="172"/>
      <c r="J127" s="172"/>
      <c r="K127" s="172"/>
      <c r="L127" s="178"/>
      <c r="M127" s="178"/>
      <c r="N127" s="178"/>
      <c r="O127" s="178"/>
      <c r="P127" s="178"/>
      <c r="Q127" s="179"/>
    </row>
    <row r="128" spans="1:17" s="50" customFormat="1" ht="25" customHeight="1">
      <c r="A128" s="277">
        <v>2</v>
      </c>
      <c r="B128" s="277" t="s">
        <v>494</v>
      </c>
      <c r="C128" s="276"/>
      <c r="D128" s="276"/>
      <c r="E128" s="276"/>
      <c r="F128" s="196"/>
      <c r="G128" s="198">
        <v>70</v>
      </c>
      <c r="H128" s="268"/>
      <c r="I128" s="268"/>
      <c r="J128" s="197">
        <v>5</v>
      </c>
      <c r="K128" s="176"/>
      <c r="L128" s="178"/>
      <c r="M128" s="178"/>
      <c r="N128" s="178"/>
      <c r="O128" s="178"/>
      <c r="P128" s="178"/>
      <c r="Q128" s="1872" t="s">
        <v>520</v>
      </c>
    </row>
    <row r="129" spans="1:17" s="50" customFormat="1" ht="25" customHeight="1">
      <c r="A129" s="278" t="s">
        <v>145</v>
      </c>
      <c r="B129" s="279" t="s">
        <v>163</v>
      </c>
      <c r="C129" s="276"/>
      <c r="D129" s="276"/>
      <c r="E129" s="276"/>
      <c r="F129" s="196"/>
      <c r="G129" s="198">
        <v>70</v>
      </c>
      <c r="H129" s="268"/>
      <c r="I129" s="268"/>
      <c r="J129" s="197">
        <v>5</v>
      </c>
      <c r="K129" s="176"/>
      <c r="L129" s="178"/>
      <c r="M129" s="178"/>
      <c r="N129" s="178"/>
      <c r="O129" s="178"/>
      <c r="P129" s="178"/>
      <c r="Q129" s="1872"/>
    </row>
    <row r="130" spans="1:17" s="50" customFormat="1" ht="25" customHeight="1">
      <c r="A130" s="275" t="s">
        <v>224</v>
      </c>
      <c r="B130" s="280" t="s">
        <v>602</v>
      </c>
      <c r="C130" s="276">
        <v>3</v>
      </c>
      <c r="D130" s="276">
        <v>1</v>
      </c>
      <c r="E130" s="276">
        <v>1</v>
      </c>
      <c r="F130" s="180"/>
      <c r="G130" s="198">
        <v>70</v>
      </c>
      <c r="H130" s="176"/>
      <c r="I130" s="176"/>
      <c r="J130" s="197">
        <v>5</v>
      </c>
      <c r="K130" s="176"/>
      <c r="L130" s="176"/>
      <c r="M130" s="178"/>
      <c r="N130" s="178"/>
      <c r="O130" s="178"/>
      <c r="P130" s="178"/>
      <c r="Q130" s="1872"/>
    </row>
    <row r="131" spans="1:17" s="50" customFormat="1" ht="25" customHeight="1">
      <c r="A131" s="275" t="s">
        <v>225</v>
      </c>
      <c r="B131" s="280" t="s">
        <v>603</v>
      </c>
      <c r="C131" s="276">
        <v>3</v>
      </c>
      <c r="D131" s="276">
        <v>1</v>
      </c>
      <c r="E131" s="276">
        <v>1</v>
      </c>
      <c r="F131" s="180"/>
      <c r="G131" s="198">
        <v>70</v>
      </c>
      <c r="H131" s="176"/>
      <c r="I131" s="176"/>
      <c r="J131" s="197">
        <v>5</v>
      </c>
      <c r="K131" s="176"/>
      <c r="L131" s="176"/>
      <c r="M131" s="178"/>
      <c r="N131" s="178"/>
      <c r="O131" s="178"/>
      <c r="P131" s="178"/>
      <c r="Q131" s="1872"/>
    </row>
    <row r="132" spans="1:17" s="50" customFormat="1" ht="25" customHeight="1">
      <c r="A132" s="275" t="s">
        <v>226</v>
      </c>
      <c r="B132" s="280" t="s">
        <v>604</v>
      </c>
      <c r="C132" s="276">
        <v>3</v>
      </c>
      <c r="D132" s="276">
        <v>1</v>
      </c>
      <c r="E132" s="276">
        <v>1</v>
      </c>
      <c r="F132" s="180"/>
      <c r="G132" s="198">
        <v>70</v>
      </c>
      <c r="H132" s="176"/>
      <c r="I132" s="176"/>
      <c r="J132" s="197">
        <v>5</v>
      </c>
      <c r="K132" s="176"/>
      <c r="L132" s="176"/>
      <c r="M132" s="178"/>
      <c r="N132" s="178"/>
      <c r="O132" s="178"/>
      <c r="P132" s="178"/>
      <c r="Q132" s="1872"/>
    </row>
    <row r="133" spans="1:17" s="50" customFormat="1" ht="25" customHeight="1">
      <c r="A133" s="275" t="s">
        <v>227</v>
      </c>
      <c r="B133" s="280" t="s">
        <v>605</v>
      </c>
      <c r="C133" s="276">
        <v>3</v>
      </c>
      <c r="D133" s="276">
        <v>1</v>
      </c>
      <c r="E133" s="276">
        <v>1</v>
      </c>
      <c r="F133" s="180"/>
      <c r="G133" s="198">
        <v>70</v>
      </c>
      <c r="H133" s="176"/>
      <c r="I133" s="176"/>
      <c r="J133" s="197">
        <v>5</v>
      </c>
      <c r="K133" s="176"/>
      <c r="L133" s="176"/>
      <c r="M133" s="178"/>
      <c r="N133" s="178"/>
      <c r="O133" s="178"/>
      <c r="P133" s="178"/>
      <c r="Q133" s="1872"/>
    </row>
    <row r="134" spans="1:17" s="50" customFormat="1" ht="25" customHeight="1">
      <c r="A134" s="275" t="s">
        <v>228</v>
      </c>
      <c r="B134" s="275" t="s">
        <v>493</v>
      </c>
      <c r="C134" s="276">
        <v>3</v>
      </c>
      <c r="D134" s="276">
        <v>1</v>
      </c>
      <c r="E134" s="276">
        <v>1</v>
      </c>
      <c r="F134" s="180"/>
      <c r="G134" s="198">
        <v>70</v>
      </c>
      <c r="H134" s="176"/>
      <c r="I134" s="176"/>
      <c r="J134" s="197">
        <v>5</v>
      </c>
      <c r="K134" s="176"/>
      <c r="L134" s="176"/>
      <c r="M134" s="178"/>
      <c r="N134" s="178"/>
      <c r="O134" s="178"/>
      <c r="P134" s="178"/>
      <c r="Q134" s="1872"/>
    </row>
    <row r="135" spans="1:17" s="50" customFormat="1" ht="25" customHeight="1">
      <c r="A135" s="275" t="s">
        <v>229</v>
      </c>
      <c r="B135" s="281" t="s">
        <v>606</v>
      </c>
      <c r="C135" s="276">
        <v>3</v>
      </c>
      <c r="D135" s="276">
        <v>1</v>
      </c>
      <c r="E135" s="276">
        <v>1</v>
      </c>
      <c r="F135" s="186"/>
      <c r="G135" s="186"/>
      <c r="H135" s="186"/>
      <c r="I135" s="172"/>
      <c r="J135" s="172"/>
      <c r="K135" s="172"/>
      <c r="L135" s="178"/>
      <c r="M135" s="178"/>
      <c r="N135" s="178"/>
      <c r="O135" s="178"/>
      <c r="P135" s="178"/>
      <c r="Q135" s="179"/>
    </row>
    <row r="136" spans="1:17" s="50" customFormat="1" ht="25" customHeight="1">
      <c r="A136" s="274" t="s">
        <v>280</v>
      </c>
      <c r="B136" s="281" t="s">
        <v>607</v>
      </c>
      <c r="C136" s="276">
        <v>3</v>
      </c>
      <c r="D136" s="276">
        <v>1</v>
      </c>
      <c r="E136" s="276">
        <v>1</v>
      </c>
      <c r="F136" s="186"/>
      <c r="G136" s="186"/>
      <c r="H136" s="186"/>
      <c r="I136" s="172"/>
      <c r="J136" s="172"/>
      <c r="K136" s="172"/>
      <c r="L136" s="178"/>
      <c r="M136" s="178"/>
      <c r="N136" s="178"/>
      <c r="O136" s="178"/>
      <c r="P136" s="178"/>
      <c r="Q136" s="179"/>
    </row>
    <row r="137" spans="1:17" s="50" customFormat="1" ht="25" customHeight="1">
      <c r="A137" s="274"/>
      <c r="B137" s="281"/>
      <c r="C137" s="276">
        <f>SUM(C130:C136)</f>
        <v>21</v>
      </c>
      <c r="D137" s="276">
        <f>SUM(D130:D136)</f>
        <v>7</v>
      </c>
      <c r="E137" s="276">
        <f>SUM(E130:E136)</f>
        <v>7</v>
      </c>
      <c r="F137" s="180">
        <f t="shared" ref="F137:F145" si="14">I137+J137+K137</f>
        <v>3638.25</v>
      </c>
      <c r="G137" s="200">
        <v>13</v>
      </c>
      <c r="H137" s="268">
        <f>C137*D137*E137*G137</f>
        <v>13377</v>
      </c>
      <c r="I137" s="177">
        <f>IF(G137&lt;70, C137*E137*16.5*1.5, C137*E137*16.5*1.5)</f>
        <v>3638.25</v>
      </c>
      <c r="J137" s="172"/>
      <c r="K137" s="172"/>
      <c r="L137" s="178"/>
      <c r="M137" s="178"/>
      <c r="N137" s="178"/>
      <c r="O137" s="178"/>
      <c r="P137" s="178"/>
      <c r="Q137" s="179"/>
    </row>
    <row r="138" spans="1:17" s="50" customFormat="1" ht="25" customHeight="1">
      <c r="A138" s="282" t="s">
        <v>146</v>
      </c>
      <c r="B138" s="283" t="s">
        <v>465</v>
      </c>
      <c r="C138" s="276"/>
      <c r="D138" s="276"/>
      <c r="E138" s="276"/>
      <c r="F138" s="180">
        <f t="shared" si="14"/>
        <v>0</v>
      </c>
      <c r="G138" s="200">
        <v>13</v>
      </c>
      <c r="H138" s="268">
        <f t="shared" ref="H138:H143" si="15">C138*D138*E138*G138</f>
        <v>0</v>
      </c>
      <c r="I138" s="177">
        <f t="shared" ref="I138:I143" si="16">IF(G138&lt;70, C138*E138*16.5*1.5, C138*E138*16.5*1.5)</f>
        <v>0</v>
      </c>
      <c r="J138" s="172"/>
      <c r="K138" s="172"/>
      <c r="L138" s="178"/>
      <c r="M138" s="178"/>
      <c r="N138" s="178"/>
      <c r="O138" s="178"/>
      <c r="P138" s="178"/>
      <c r="Q138" s="179"/>
    </row>
    <row r="139" spans="1:17" s="50" customFormat="1" ht="25" customHeight="1">
      <c r="A139" s="282"/>
      <c r="B139" s="275" t="s">
        <v>608</v>
      </c>
      <c r="C139" s="276">
        <v>15</v>
      </c>
      <c r="D139" s="276">
        <v>1</v>
      </c>
      <c r="E139" s="276">
        <v>1</v>
      </c>
      <c r="F139" s="180">
        <f t="shared" si="14"/>
        <v>371.25</v>
      </c>
      <c r="G139" s="200">
        <v>13</v>
      </c>
      <c r="H139" s="268">
        <f t="shared" si="15"/>
        <v>195</v>
      </c>
      <c r="I139" s="177">
        <f t="shared" si="16"/>
        <v>371.25</v>
      </c>
      <c r="J139" s="172"/>
      <c r="K139" s="172"/>
      <c r="L139" s="178"/>
      <c r="M139" s="178"/>
      <c r="N139" s="178"/>
      <c r="O139" s="178"/>
      <c r="P139" s="178"/>
      <c r="Q139" s="179"/>
    </row>
    <row r="140" spans="1:17" s="50" customFormat="1" ht="25" customHeight="1">
      <c r="A140" s="274"/>
      <c r="B140" s="284" t="s">
        <v>375</v>
      </c>
      <c r="C140" s="276">
        <f>SUM(C130:C139)</f>
        <v>57</v>
      </c>
      <c r="D140" s="276">
        <f>SUM(D130:D139)</f>
        <v>15</v>
      </c>
      <c r="E140" s="276">
        <f>SUM(E130:E139)</f>
        <v>15</v>
      </c>
      <c r="F140" s="180">
        <f t="shared" si="14"/>
        <v>21161.25</v>
      </c>
      <c r="G140" s="200">
        <v>13</v>
      </c>
      <c r="H140" s="268">
        <f t="shared" si="15"/>
        <v>166725</v>
      </c>
      <c r="I140" s="177">
        <f t="shared" si="16"/>
        <v>21161.25</v>
      </c>
      <c r="J140" s="172"/>
      <c r="K140" s="172"/>
      <c r="L140" s="178"/>
      <c r="M140" s="178"/>
      <c r="N140" s="178"/>
      <c r="O140" s="178"/>
      <c r="P140" s="178"/>
      <c r="Q140" s="179"/>
    </row>
    <row r="141" spans="1:17" s="50" customFormat="1" ht="25" customHeight="1">
      <c r="A141" s="277">
        <v>1</v>
      </c>
      <c r="B141" s="279" t="s">
        <v>223</v>
      </c>
      <c r="C141" s="276"/>
      <c r="D141" s="276"/>
      <c r="E141" s="276"/>
      <c r="F141" s="180">
        <f t="shared" si="14"/>
        <v>0</v>
      </c>
      <c r="G141" s="200">
        <v>13</v>
      </c>
      <c r="H141" s="268">
        <f>C141*D141*E141*G141</f>
        <v>0</v>
      </c>
      <c r="I141" s="177">
        <f t="shared" si="16"/>
        <v>0</v>
      </c>
      <c r="J141" s="172"/>
      <c r="K141" s="172"/>
      <c r="L141" s="178"/>
      <c r="M141" s="178"/>
      <c r="N141" s="178"/>
      <c r="O141" s="178"/>
      <c r="P141" s="178"/>
      <c r="Q141" s="179"/>
    </row>
    <row r="142" spans="1:17" s="50" customFormat="1" ht="25" customHeight="1">
      <c r="A142" s="277" t="s">
        <v>376</v>
      </c>
      <c r="B142" s="279" t="s">
        <v>161</v>
      </c>
      <c r="C142" s="276"/>
      <c r="D142" s="276"/>
      <c r="E142" s="276"/>
      <c r="F142" s="180">
        <f t="shared" si="14"/>
        <v>0</v>
      </c>
      <c r="G142" s="200">
        <v>13</v>
      </c>
      <c r="H142" s="268">
        <f t="shared" si="15"/>
        <v>0</v>
      </c>
      <c r="I142" s="177">
        <f t="shared" si="16"/>
        <v>0</v>
      </c>
      <c r="J142" s="172"/>
      <c r="K142" s="172"/>
      <c r="L142" s="178"/>
      <c r="M142" s="178"/>
      <c r="N142" s="178"/>
      <c r="O142" s="178"/>
      <c r="P142" s="178"/>
      <c r="Q142" s="179"/>
    </row>
    <row r="143" spans="1:17" s="50" customFormat="1" ht="25" customHeight="1">
      <c r="A143" s="274" t="s">
        <v>226</v>
      </c>
      <c r="B143" s="285" t="s">
        <v>609</v>
      </c>
      <c r="C143" s="276">
        <v>3</v>
      </c>
      <c r="D143" s="276">
        <v>1</v>
      </c>
      <c r="E143" s="276">
        <v>7</v>
      </c>
      <c r="F143" s="180">
        <f t="shared" si="14"/>
        <v>519.75</v>
      </c>
      <c r="G143" s="200">
        <v>13</v>
      </c>
      <c r="H143" s="268">
        <f t="shared" si="15"/>
        <v>273</v>
      </c>
      <c r="I143" s="177">
        <f t="shared" si="16"/>
        <v>519.75</v>
      </c>
      <c r="J143" s="172"/>
      <c r="K143" s="172"/>
      <c r="L143" s="178"/>
      <c r="M143" s="178"/>
      <c r="N143" s="178"/>
      <c r="O143" s="178"/>
      <c r="P143" s="178"/>
      <c r="Q143" s="179"/>
    </row>
    <row r="144" spans="1:17" s="50" customFormat="1" ht="25" customHeight="1">
      <c r="A144" s="274" t="s">
        <v>227</v>
      </c>
      <c r="B144" s="285" t="s">
        <v>610</v>
      </c>
      <c r="C144" s="276">
        <v>3</v>
      </c>
      <c r="D144" s="276">
        <v>1</v>
      </c>
      <c r="E144" s="276">
        <v>7</v>
      </c>
      <c r="F144" s="186"/>
      <c r="G144" s="186"/>
      <c r="H144" s="186"/>
      <c r="I144" s="203"/>
      <c r="J144" s="203"/>
      <c r="K144" s="172"/>
      <c r="L144" s="178"/>
      <c r="M144" s="178"/>
      <c r="N144" s="178"/>
      <c r="O144" s="178"/>
      <c r="P144" s="178"/>
      <c r="Q144" s="179"/>
    </row>
    <row r="145" spans="1:17" s="50" customFormat="1" ht="25" customHeight="1">
      <c r="A145" s="274" t="s">
        <v>228</v>
      </c>
      <c r="B145" s="285" t="s">
        <v>611</v>
      </c>
      <c r="C145" s="276">
        <v>2</v>
      </c>
      <c r="D145" s="276">
        <v>1</v>
      </c>
      <c r="E145" s="276">
        <v>10</v>
      </c>
      <c r="F145" s="180">
        <f t="shared" si="14"/>
        <v>14700</v>
      </c>
      <c r="G145" s="186">
        <v>42</v>
      </c>
      <c r="H145" s="268">
        <f>C145*D145*E145*G145</f>
        <v>840</v>
      </c>
      <c r="I145" s="177">
        <f>E145*G145*35</f>
        <v>14700</v>
      </c>
      <c r="J145" s="203"/>
      <c r="K145" s="172"/>
      <c r="L145" s="178"/>
      <c r="M145" s="178"/>
      <c r="N145" s="178"/>
      <c r="O145" s="178"/>
      <c r="P145" s="178"/>
      <c r="Q145" s="179"/>
    </row>
    <row r="146" spans="1:17" s="50" customFormat="1" ht="25" customHeight="1">
      <c r="A146" s="274" t="s">
        <v>229</v>
      </c>
      <c r="B146" s="285" t="s">
        <v>612</v>
      </c>
      <c r="C146" s="276">
        <v>3</v>
      </c>
      <c r="D146" s="276">
        <v>1</v>
      </c>
      <c r="E146" s="276">
        <v>16</v>
      </c>
      <c r="F146" s="186">
        <f>SUM(F137:F145)</f>
        <v>40390.5</v>
      </c>
      <c r="G146" s="204">
        <f>SUM(G137:G145)</f>
        <v>133</v>
      </c>
      <c r="H146" s="204">
        <f>SUM(H137:H145)</f>
        <v>181410</v>
      </c>
      <c r="I146" s="204">
        <f>SUM(I137:I145)</f>
        <v>40390.5</v>
      </c>
      <c r="J146" s="172">
        <v>0</v>
      </c>
      <c r="K146" s="172">
        <v>0</v>
      </c>
      <c r="L146" s="178"/>
      <c r="M146" s="178"/>
      <c r="N146" s="178"/>
      <c r="O146" s="178"/>
      <c r="P146" s="178"/>
      <c r="Q146" s="179"/>
    </row>
    <row r="147" spans="1:17" s="50" customFormat="1" ht="25" customHeight="1">
      <c r="A147" s="274" t="s">
        <v>280</v>
      </c>
      <c r="B147" s="285" t="s">
        <v>613</v>
      </c>
      <c r="C147" s="276">
        <v>2</v>
      </c>
      <c r="D147" s="276">
        <v>1</v>
      </c>
      <c r="E147" s="276">
        <v>10</v>
      </c>
      <c r="F147" s="186"/>
      <c r="G147" s="186"/>
      <c r="H147" s="186"/>
      <c r="I147" s="203"/>
      <c r="J147" s="178"/>
      <c r="K147" s="178"/>
      <c r="L147" s="178"/>
      <c r="M147" s="178"/>
      <c r="N147" s="178"/>
      <c r="O147" s="178"/>
      <c r="P147" s="178"/>
      <c r="Q147" s="179"/>
    </row>
    <row r="148" spans="1:17" s="50" customFormat="1" ht="25" customHeight="1">
      <c r="A148" s="274" t="s">
        <v>282</v>
      </c>
      <c r="B148" s="281" t="s">
        <v>614</v>
      </c>
      <c r="C148" s="276">
        <v>3</v>
      </c>
      <c r="D148" s="276">
        <v>1</v>
      </c>
      <c r="E148" s="276">
        <v>10</v>
      </c>
      <c r="F148" s="186"/>
      <c r="G148" s="186"/>
      <c r="H148" s="186"/>
      <c r="I148" s="203"/>
      <c r="J148" s="178"/>
      <c r="K148" s="178"/>
      <c r="L148" s="178"/>
      <c r="M148" s="178"/>
      <c r="N148" s="178"/>
      <c r="O148" s="178"/>
      <c r="P148" s="178"/>
      <c r="Q148" s="179"/>
    </row>
    <row r="149" spans="1:17" s="50" customFormat="1" ht="25" customHeight="1">
      <c r="A149" s="274" t="s">
        <v>284</v>
      </c>
      <c r="B149" s="275" t="s">
        <v>615</v>
      </c>
      <c r="C149" s="276">
        <v>3</v>
      </c>
      <c r="D149" s="276">
        <v>1</v>
      </c>
      <c r="E149" s="276">
        <v>10</v>
      </c>
      <c r="F149" s="180">
        <f t="shared" ref="F149:F163" si="17">I149+J149+K149</f>
        <v>643.5</v>
      </c>
      <c r="G149" s="200">
        <v>70</v>
      </c>
      <c r="H149" s="268">
        <f t="shared" ref="H149:H163" si="18">C149*D149*E149*G149</f>
        <v>2100</v>
      </c>
      <c r="I149" s="177">
        <f>IF(G149&lt;70, C149*E149*16.5*1, C149*E149*16.5*1.3)</f>
        <v>643.5</v>
      </c>
      <c r="J149" s="178"/>
      <c r="K149" s="178"/>
      <c r="L149" s="178"/>
      <c r="M149" s="178"/>
      <c r="N149" s="178"/>
      <c r="O149" s="178"/>
      <c r="P149" s="178"/>
      <c r="Q149" s="179"/>
    </row>
    <row r="150" spans="1:17" s="50" customFormat="1" ht="25" customHeight="1">
      <c r="A150" s="274" t="s">
        <v>287</v>
      </c>
      <c r="B150" s="275" t="s">
        <v>383</v>
      </c>
      <c r="C150" s="276">
        <v>3</v>
      </c>
      <c r="D150" s="276">
        <v>1</v>
      </c>
      <c r="E150" s="276">
        <v>16</v>
      </c>
      <c r="F150" s="180">
        <f t="shared" si="17"/>
        <v>1029.6000000000001</v>
      </c>
      <c r="G150" s="200">
        <v>70</v>
      </c>
      <c r="H150" s="268">
        <f t="shared" si="18"/>
        <v>3360</v>
      </c>
      <c r="I150" s="177">
        <f t="shared" ref="I150:I163" si="19">IF(G150&lt;70, C150*E150*16.5*1, C150*E150*16.5*1.3)</f>
        <v>1029.6000000000001</v>
      </c>
      <c r="J150" s="178"/>
      <c r="K150" s="178"/>
      <c r="L150" s="178"/>
      <c r="M150" s="178"/>
      <c r="N150" s="178"/>
      <c r="O150" s="178"/>
      <c r="P150" s="178"/>
      <c r="Q150" s="179"/>
    </row>
    <row r="151" spans="1:17" s="50" customFormat="1" ht="25" customHeight="1">
      <c r="A151" s="274" t="s">
        <v>288</v>
      </c>
      <c r="B151" s="275" t="s">
        <v>616</v>
      </c>
      <c r="C151" s="276">
        <v>4</v>
      </c>
      <c r="D151" s="276">
        <v>1</v>
      </c>
      <c r="E151" s="276">
        <v>10</v>
      </c>
      <c r="F151" s="180">
        <f t="shared" si="17"/>
        <v>858</v>
      </c>
      <c r="G151" s="200">
        <v>70</v>
      </c>
      <c r="H151" s="268">
        <f t="shared" si="18"/>
        <v>2800</v>
      </c>
      <c r="I151" s="177">
        <f t="shared" si="19"/>
        <v>858</v>
      </c>
      <c r="J151" s="178"/>
      <c r="K151" s="178"/>
      <c r="L151" s="178"/>
      <c r="M151" s="178"/>
      <c r="N151" s="178"/>
      <c r="O151" s="178"/>
      <c r="P151" s="178"/>
      <c r="Q151" s="179"/>
    </row>
    <row r="152" spans="1:17" s="50" customFormat="1" ht="25" customHeight="1">
      <c r="A152" s="274" t="s">
        <v>289</v>
      </c>
      <c r="B152" s="275" t="s">
        <v>617</v>
      </c>
      <c r="C152" s="276">
        <v>4</v>
      </c>
      <c r="D152" s="276">
        <v>1</v>
      </c>
      <c r="E152" s="276">
        <v>8</v>
      </c>
      <c r="F152" s="180">
        <f t="shared" si="17"/>
        <v>686.4</v>
      </c>
      <c r="G152" s="200">
        <v>70</v>
      </c>
      <c r="H152" s="268">
        <f t="shared" si="18"/>
        <v>2240</v>
      </c>
      <c r="I152" s="177">
        <f t="shared" si="19"/>
        <v>686.4</v>
      </c>
      <c r="J152" s="178"/>
      <c r="K152" s="178"/>
      <c r="L152" s="178"/>
      <c r="M152" s="178"/>
      <c r="N152" s="178"/>
      <c r="O152" s="178"/>
      <c r="P152" s="178"/>
      <c r="Q152" s="179"/>
    </row>
    <row r="153" spans="1:17" s="50" customFormat="1" ht="25" customHeight="1">
      <c r="A153" s="274" t="s">
        <v>290</v>
      </c>
      <c r="B153" s="275" t="s">
        <v>618</v>
      </c>
      <c r="C153" s="276">
        <v>4</v>
      </c>
      <c r="D153" s="276">
        <v>1</v>
      </c>
      <c r="E153" s="276">
        <v>8</v>
      </c>
      <c r="F153" s="180">
        <f t="shared" si="17"/>
        <v>686.4</v>
      </c>
      <c r="G153" s="200">
        <v>70</v>
      </c>
      <c r="H153" s="268">
        <f t="shared" si="18"/>
        <v>2240</v>
      </c>
      <c r="I153" s="177">
        <f t="shared" si="19"/>
        <v>686.4</v>
      </c>
      <c r="J153" s="197"/>
      <c r="K153" s="197"/>
      <c r="L153" s="197"/>
      <c r="M153" s="197"/>
      <c r="N153" s="197"/>
      <c r="O153" s="197"/>
      <c r="P153" s="197"/>
      <c r="Q153" s="180"/>
    </row>
    <row r="154" spans="1:17" s="50" customFormat="1" ht="25" customHeight="1">
      <c r="A154" s="202" t="s">
        <v>229</v>
      </c>
      <c r="B154" s="205" t="s">
        <v>377</v>
      </c>
      <c r="C154" s="200">
        <v>4</v>
      </c>
      <c r="D154" s="200">
        <v>1</v>
      </c>
      <c r="E154" s="200">
        <v>16</v>
      </c>
      <c r="F154" s="180">
        <f t="shared" si="17"/>
        <v>1372.8</v>
      </c>
      <c r="G154" s="200">
        <v>70</v>
      </c>
      <c r="H154" s="268">
        <f t="shared" si="18"/>
        <v>4480</v>
      </c>
      <c r="I154" s="177">
        <f t="shared" si="19"/>
        <v>1372.8</v>
      </c>
      <c r="J154" s="197"/>
      <c r="K154" s="197"/>
      <c r="L154" s="197"/>
      <c r="M154" s="197"/>
      <c r="N154" s="197"/>
      <c r="O154" s="197"/>
      <c r="P154" s="197"/>
      <c r="Q154" s="180"/>
    </row>
    <row r="155" spans="1:17" s="50" customFormat="1" ht="25" customHeight="1">
      <c r="A155" s="202" t="s">
        <v>280</v>
      </c>
      <c r="B155" s="205" t="s">
        <v>378</v>
      </c>
      <c r="C155" s="200">
        <v>2</v>
      </c>
      <c r="D155" s="200">
        <v>1</v>
      </c>
      <c r="E155" s="200">
        <v>16</v>
      </c>
      <c r="F155" s="180">
        <f t="shared" si="17"/>
        <v>686.4</v>
      </c>
      <c r="G155" s="200">
        <v>80</v>
      </c>
      <c r="H155" s="268">
        <f t="shared" si="18"/>
        <v>2560</v>
      </c>
      <c r="I155" s="177">
        <f t="shared" si="19"/>
        <v>686.4</v>
      </c>
      <c r="J155" s="197"/>
      <c r="K155" s="197"/>
      <c r="L155" s="197"/>
      <c r="M155" s="197"/>
      <c r="N155" s="197"/>
      <c r="O155" s="197"/>
      <c r="P155" s="197"/>
      <c r="Q155" s="180"/>
    </row>
    <row r="156" spans="1:17" s="50" customFormat="1" ht="25" customHeight="1">
      <c r="A156" s="202" t="s">
        <v>281</v>
      </c>
      <c r="B156" s="205" t="s">
        <v>379</v>
      </c>
      <c r="C156" s="200">
        <v>4</v>
      </c>
      <c r="D156" s="200">
        <v>1</v>
      </c>
      <c r="E156" s="200">
        <v>16</v>
      </c>
      <c r="F156" s="180">
        <f t="shared" si="17"/>
        <v>1372.8</v>
      </c>
      <c r="G156" s="200">
        <v>70</v>
      </c>
      <c r="H156" s="268">
        <f t="shared" si="18"/>
        <v>4480</v>
      </c>
      <c r="I156" s="177">
        <f t="shared" si="19"/>
        <v>1372.8</v>
      </c>
      <c r="J156" s="197"/>
      <c r="K156" s="197"/>
      <c r="L156" s="197"/>
      <c r="M156" s="197"/>
      <c r="N156" s="197"/>
      <c r="O156" s="197"/>
      <c r="P156" s="197"/>
      <c r="Q156" s="180"/>
    </row>
    <row r="157" spans="1:17" s="50" customFormat="1" ht="25" customHeight="1">
      <c r="A157" s="202" t="s">
        <v>282</v>
      </c>
      <c r="B157" s="201" t="s">
        <v>380</v>
      </c>
      <c r="C157" s="200">
        <v>3</v>
      </c>
      <c r="D157" s="200">
        <v>1</v>
      </c>
      <c r="E157" s="200">
        <v>16</v>
      </c>
      <c r="F157" s="180">
        <f t="shared" si="17"/>
        <v>1029.6000000000001</v>
      </c>
      <c r="G157" s="200">
        <v>70</v>
      </c>
      <c r="H157" s="268">
        <f t="shared" si="18"/>
        <v>3360</v>
      </c>
      <c r="I157" s="177">
        <f t="shared" si="19"/>
        <v>1029.6000000000001</v>
      </c>
      <c r="J157" s="197"/>
      <c r="K157" s="197"/>
      <c r="L157" s="197"/>
      <c r="M157" s="197"/>
      <c r="N157" s="197"/>
      <c r="O157" s="197"/>
      <c r="P157" s="197"/>
      <c r="Q157" s="180"/>
    </row>
    <row r="158" spans="1:17" s="50" customFormat="1" ht="25" customHeight="1">
      <c r="A158" s="202" t="s">
        <v>283</v>
      </c>
      <c r="B158" s="201" t="s">
        <v>381</v>
      </c>
      <c r="C158" s="200">
        <v>3</v>
      </c>
      <c r="D158" s="200">
        <v>1</v>
      </c>
      <c r="E158" s="200">
        <v>16</v>
      </c>
      <c r="F158" s="180">
        <f t="shared" si="17"/>
        <v>1029.6000000000001</v>
      </c>
      <c r="G158" s="200">
        <v>70</v>
      </c>
      <c r="H158" s="268">
        <f t="shared" si="18"/>
        <v>3360</v>
      </c>
      <c r="I158" s="177">
        <f t="shared" si="19"/>
        <v>1029.6000000000001</v>
      </c>
      <c r="J158" s="197"/>
      <c r="K158" s="197"/>
      <c r="L158" s="197"/>
      <c r="M158" s="197"/>
      <c r="N158" s="197"/>
      <c r="O158" s="197"/>
      <c r="P158" s="197"/>
      <c r="Q158" s="180"/>
    </row>
    <row r="159" spans="1:17" s="50" customFormat="1" ht="25" customHeight="1">
      <c r="A159" s="202" t="s">
        <v>284</v>
      </c>
      <c r="B159" s="199" t="s">
        <v>382</v>
      </c>
      <c r="C159" s="200">
        <v>3</v>
      </c>
      <c r="D159" s="200">
        <v>1</v>
      </c>
      <c r="E159" s="200">
        <v>16</v>
      </c>
      <c r="F159" s="180">
        <f t="shared" si="17"/>
        <v>1029.6000000000001</v>
      </c>
      <c r="G159" s="200">
        <v>70</v>
      </c>
      <c r="H159" s="268">
        <f t="shared" si="18"/>
        <v>3360</v>
      </c>
      <c r="I159" s="177">
        <f t="shared" si="19"/>
        <v>1029.6000000000001</v>
      </c>
      <c r="J159" s="197"/>
      <c r="K159" s="197"/>
      <c r="L159" s="197"/>
      <c r="M159" s="197"/>
      <c r="N159" s="197"/>
      <c r="O159" s="197"/>
      <c r="P159" s="197"/>
      <c r="Q159" s="180"/>
    </row>
    <row r="160" spans="1:17" s="50" customFormat="1" ht="25" customHeight="1">
      <c r="A160" s="202" t="s">
        <v>287</v>
      </c>
      <c r="B160" s="199" t="s">
        <v>383</v>
      </c>
      <c r="C160" s="200">
        <v>3</v>
      </c>
      <c r="D160" s="200">
        <v>1</v>
      </c>
      <c r="E160" s="200">
        <v>16</v>
      </c>
      <c r="F160" s="180">
        <f t="shared" si="17"/>
        <v>1029.6000000000001</v>
      </c>
      <c r="G160" s="200">
        <v>70</v>
      </c>
      <c r="H160" s="268">
        <f t="shared" si="18"/>
        <v>3360</v>
      </c>
      <c r="I160" s="177">
        <f t="shared" si="19"/>
        <v>1029.6000000000001</v>
      </c>
      <c r="J160" s="197"/>
      <c r="K160" s="197"/>
      <c r="L160" s="197"/>
      <c r="M160" s="197"/>
      <c r="N160" s="197"/>
      <c r="O160" s="197"/>
      <c r="P160" s="197"/>
      <c r="Q160" s="180"/>
    </row>
    <row r="161" spans="1:17" s="50" customFormat="1" ht="25" customHeight="1">
      <c r="A161" s="202" t="s">
        <v>288</v>
      </c>
      <c r="B161" s="199" t="s">
        <v>384</v>
      </c>
      <c r="C161" s="200">
        <v>4</v>
      </c>
      <c r="D161" s="200">
        <v>1</v>
      </c>
      <c r="E161" s="200">
        <v>10</v>
      </c>
      <c r="F161" s="180">
        <f t="shared" si="17"/>
        <v>858</v>
      </c>
      <c r="G161" s="200">
        <v>70</v>
      </c>
      <c r="H161" s="268">
        <f t="shared" si="18"/>
        <v>2800</v>
      </c>
      <c r="I161" s="177">
        <f t="shared" si="19"/>
        <v>858</v>
      </c>
      <c r="J161" s="197"/>
      <c r="K161" s="197"/>
      <c r="L161" s="197"/>
      <c r="M161" s="197"/>
      <c r="N161" s="197"/>
      <c r="O161" s="197"/>
      <c r="P161" s="197"/>
      <c r="Q161" s="180"/>
    </row>
    <row r="162" spans="1:17" s="50" customFormat="1" ht="25" customHeight="1">
      <c r="A162" s="202" t="s">
        <v>289</v>
      </c>
      <c r="B162" s="199" t="s">
        <v>385</v>
      </c>
      <c r="C162" s="200">
        <v>4</v>
      </c>
      <c r="D162" s="200">
        <v>1</v>
      </c>
      <c r="E162" s="200">
        <v>13</v>
      </c>
      <c r="F162" s="180">
        <f t="shared" si="17"/>
        <v>1115.4000000000001</v>
      </c>
      <c r="G162" s="200">
        <v>70</v>
      </c>
      <c r="H162" s="268">
        <f t="shared" si="18"/>
        <v>3640</v>
      </c>
      <c r="I162" s="177">
        <f t="shared" si="19"/>
        <v>1115.4000000000001</v>
      </c>
      <c r="J162" s="197"/>
      <c r="K162" s="197"/>
      <c r="L162" s="197"/>
      <c r="M162" s="197"/>
      <c r="N162" s="197"/>
      <c r="O162" s="197"/>
      <c r="P162" s="197"/>
      <c r="Q162" s="180"/>
    </row>
    <row r="163" spans="1:17" s="50" customFormat="1" ht="25" customHeight="1">
      <c r="A163" s="202" t="s">
        <v>290</v>
      </c>
      <c r="B163" s="199" t="s">
        <v>386</v>
      </c>
      <c r="C163" s="200">
        <v>4</v>
      </c>
      <c r="D163" s="200">
        <v>1</v>
      </c>
      <c r="E163" s="200">
        <v>16</v>
      </c>
      <c r="F163" s="180">
        <f t="shared" si="17"/>
        <v>1372.8</v>
      </c>
      <c r="G163" s="200">
        <v>70</v>
      </c>
      <c r="H163" s="268">
        <f t="shared" si="18"/>
        <v>4480</v>
      </c>
      <c r="I163" s="177">
        <f t="shared" si="19"/>
        <v>1372.8</v>
      </c>
      <c r="J163" s="197"/>
      <c r="K163" s="197"/>
      <c r="L163" s="197"/>
      <c r="M163" s="197"/>
      <c r="N163" s="197"/>
      <c r="O163" s="197"/>
      <c r="P163" s="197"/>
      <c r="Q163" s="180"/>
    </row>
    <row r="164" spans="1:17" s="50" customFormat="1" ht="25" customHeight="1">
      <c r="A164" s="202"/>
      <c r="B164" s="206" t="s">
        <v>387</v>
      </c>
      <c r="C164" s="207">
        <f>SUM(C149:C163)</f>
        <v>52</v>
      </c>
      <c r="D164" s="207">
        <f t="shared" ref="D164:K164" si="20">SUM(D149:D163)</f>
        <v>15</v>
      </c>
      <c r="E164" s="207">
        <f t="shared" si="20"/>
        <v>203</v>
      </c>
      <c r="F164" s="200">
        <f t="shared" si="20"/>
        <v>14800.5</v>
      </c>
      <c r="G164" s="207">
        <f t="shared" si="20"/>
        <v>1060</v>
      </c>
      <c r="H164" s="207">
        <f t="shared" si="20"/>
        <v>48620</v>
      </c>
      <c r="I164" s="207">
        <f t="shared" si="20"/>
        <v>14800.5</v>
      </c>
      <c r="J164" s="207">
        <f t="shared" si="20"/>
        <v>0</v>
      </c>
      <c r="K164" s="207">
        <f t="shared" si="20"/>
        <v>0</v>
      </c>
      <c r="L164" s="197"/>
      <c r="M164" s="197"/>
      <c r="N164" s="197"/>
      <c r="O164" s="197"/>
      <c r="P164" s="197"/>
      <c r="Q164" s="180"/>
    </row>
    <row r="165" spans="1:17" s="50" customFormat="1" ht="25" customHeight="1">
      <c r="A165" s="208"/>
      <c r="B165" s="209" t="s">
        <v>388</v>
      </c>
      <c r="C165" s="210">
        <f t="shared" ref="C165:K165" si="21">C126+C164+C146</f>
        <v>55</v>
      </c>
      <c r="D165" s="210">
        <f t="shared" si="21"/>
        <v>16</v>
      </c>
      <c r="E165" s="210">
        <f t="shared" si="21"/>
        <v>219</v>
      </c>
      <c r="F165" s="246">
        <f t="shared" si="21"/>
        <v>59096.850000000006</v>
      </c>
      <c r="G165" s="210">
        <f t="shared" si="21"/>
        <v>2512</v>
      </c>
      <c r="H165" s="210">
        <f t="shared" si="21"/>
        <v>242109.56</v>
      </c>
      <c r="I165" s="210">
        <f t="shared" si="21"/>
        <v>58898.850000000006</v>
      </c>
      <c r="J165" s="210">
        <f t="shared" si="21"/>
        <v>198</v>
      </c>
      <c r="K165" s="210">
        <f t="shared" si="21"/>
        <v>0</v>
      </c>
      <c r="L165" s="191">
        <f>'Bieu3 GDMN'!F25</f>
        <v>2700</v>
      </c>
      <c r="M165" s="191">
        <f>'Bieu3 GDMN'!N25</f>
        <v>2376</v>
      </c>
      <c r="N165" s="190">
        <f>I165-M165</f>
        <v>56522.850000000006</v>
      </c>
      <c r="O165" s="191">
        <f>'Bieu3 GDMN'!O25</f>
        <v>1709.75</v>
      </c>
      <c r="P165" s="191">
        <f>'Bieu3 GDMN'!P25</f>
        <v>960</v>
      </c>
      <c r="Q165" s="192"/>
    </row>
    <row r="166" spans="1:17" s="50" customFormat="1" ht="25" customHeight="1">
      <c r="A166" s="211"/>
      <c r="B166" s="212"/>
      <c r="C166" s="213"/>
      <c r="D166" s="213"/>
      <c r="E166" s="213"/>
      <c r="F166" s="213"/>
      <c r="G166" s="213"/>
      <c r="H166" s="213"/>
      <c r="I166" s="214"/>
      <c r="J166" s="178"/>
      <c r="K166" s="178"/>
      <c r="L166" s="178"/>
      <c r="M166" s="178"/>
      <c r="N166" s="178"/>
      <c r="O166" s="178"/>
      <c r="P166" s="178"/>
      <c r="Q166" s="179"/>
    </row>
    <row r="167" spans="1:17" s="50" customFormat="1" ht="25" customHeight="1">
      <c r="A167" s="215" t="s">
        <v>417</v>
      </c>
      <c r="B167" s="215" t="s">
        <v>418</v>
      </c>
      <c r="C167" s="216"/>
      <c r="D167" s="216"/>
      <c r="E167" s="216"/>
      <c r="F167" s="247"/>
      <c r="G167" s="216"/>
      <c r="H167" s="213"/>
      <c r="I167" s="214"/>
      <c r="J167" s="178"/>
      <c r="K167" s="178"/>
      <c r="L167" s="178"/>
      <c r="M167" s="178"/>
      <c r="N167" s="178"/>
      <c r="O167" s="178"/>
      <c r="P167" s="178"/>
      <c r="Q167" s="179"/>
    </row>
    <row r="168" spans="1:17" s="50" customFormat="1" ht="25" customHeight="1">
      <c r="A168" s="217" t="s">
        <v>6</v>
      </c>
      <c r="B168" s="217" t="s">
        <v>221</v>
      </c>
      <c r="C168" s="216"/>
      <c r="D168" s="216"/>
      <c r="E168" s="216"/>
      <c r="F168" s="247"/>
      <c r="G168" s="216"/>
      <c r="H168" s="213"/>
      <c r="I168" s="214"/>
      <c r="J168" s="178"/>
      <c r="K168" s="178"/>
      <c r="L168" s="178"/>
      <c r="M168" s="178"/>
      <c r="N168" s="178"/>
      <c r="O168" s="178"/>
      <c r="P168" s="178"/>
      <c r="Q168" s="179"/>
    </row>
    <row r="169" spans="1:17" s="50" customFormat="1" ht="25" customHeight="1">
      <c r="A169" s="217">
        <v>1</v>
      </c>
      <c r="B169" s="217" t="s">
        <v>4</v>
      </c>
      <c r="C169" s="216"/>
      <c r="D169" s="216"/>
      <c r="E169" s="216"/>
      <c r="F169" s="247"/>
      <c r="G169" s="216"/>
      <c r="H169" s="213"/>
      <c r="I169" s="214"/>
      <c r="J169" s="178"/>
      <c r="K169" s="178"/>
      <c r="L169" s="178"/>
      <c r="M169" s="178"/>
      <c r="N169" s="178"/>
      <c r="O169" s="178"/>
      <c r="P169" s="178"/>
      <c r="Q169" s="179"/>
    </row>
    <row r="170" spans="1:17" s="50" customFormat="1" ht="25" customHeight="1">
      <c r="A170" s="218" t="s">
        <v>145</v>
      </c>
      <c r="B170" s="219" t="s">
        <v>159</v>
      </c>
      <c r="C170" s="220"/>
      <c r="D170" s="220"/>
      <c r="E170" s="220"/>
      <c r="F170" s="224"/>
      <c r="G170" s="220"/>
      <c r="H170" s="213"/>
      <c r="I170" s="214"/>
      <c r="J170" s="178"/>
      <c r="K170" s="178"/>
      <c r="L170" s="178"/>
      <c r="M170" s="178"/>
      <c r="N170" s="178"/>
      <c r="O170" s="178"/>
      <c r="P170" s="178"/>
      <c r="Q170" s="179"/>
    </row>
    <row r="171" spans="1:17" s="50" customFormat="1" ht="25" customHeight="1">
      <c r="A171" s="269" t="s">
        <v>224</v>
      </c>
      <c r="B171" s="270" t="s">
        <v>664</v>
      </c>
      <c r="C171" s="355">
        <v>4</v>
      </c>
      <c r="D171" s="297">
        <v>1</v>
      </c>
      <c r="E171" s="355">
        <v>13</v>
      </c>
      <c r="F171" s="180">
        <f t="shared" ref="F171:F184" si="22">I171+J171+K171</f>
        <v>858</v>
      </c>
      <c r="G171" s="221">
        <v>50</v>
      </c>
      <c r="H171" s="268">
        <f>C171*D171*E171*G171</f>
        <v>2600</v>
      </c>
      <c r="I171" s="177">
        <f>IF(G171&lt;70, C171*E171*16.5*1, C171*E171*16.5*1.3)</f>
        <v>858</v>
      </c>
      <c r="J171" s="178"/>
      <c r="K171" s="178"/>
      <c r="L171" s="178"/>
      <c r="M171" s="178"/>
      <c r="N171" s="178"/>
      <c r="O171" s="178"/>
      <c r="P171" s="178"/>
      <c r="Q171" s="179"/>
    </row>
    <row r="172" spans="1:17" s="50" customFormat="1" ht="25" customHeight="1">
      <c r="A172" s="269" t="s">
        <v>225</v>
      </c>
      <c r="B172" s="270" t="s">
        <v>665</v>
      </c>
      <c r="C172" s="296">
        <v>3</v>
      </c>
      <c r="D172" s="356">
        <v>1</v>
      </c>
      <c r="E172" s="296">
        <v>7</v>
      </c>
      <c r="F172" s="180">
        <f t="shared" si="22"/>
        <v>450.45</v>
      </c>
      <c r="G172" s="222">
        <v>70</v>
      </c>
      <c r="H172" s="268">
        <f t="shared" ref="H172:H184" si="23">C172*D172*E172*G172</f>
        <v>1470</v>
      </c>
      <c r="I172" s="177">
        <f t="shared" ref="I172:I182" si="24">IF(G172&lt;70, C172*E172*16.5*1, C172*E172*16.5*1.3)</f>
        <v>450.45</v>
      </c>
      <c r="J172" s="178"/>
      <c r="K172" s="178"/>
      <c r="L172" s="178"/>
      <c r="M172" s="178"/>
      <c r="N172" s="178"/>
      <c r="O172" s="178"/>
      <c r="P172" s="178"/>
      <c r="Q172" s="179"/>
    </row>
    <row r="173" spans="1:17" s="50" customFormat="1" ht="25" customHeight="1">
      <c r="A173" s="269" t="s">
        <v>227</v>
      </c>
      <c r="B173" s="270" t="s">
        <v>666</v>
      </c>
      <c r="C173" s="296">
        <v>5</v>
      </c>
      <c r="D173" s="356">
        <v>1</v>
      </c>
      <c r="E173" s="296">
        <v>6</v>
      </c>
      <c r="F173" s="180">
        <f t="shared" si="22"/>
        <v>643.5</v>
      </c>
      <c r="G173" s="222">
        <v>70</v>
      </c>
      <c r="H173" s="268">
        <f t="shared" si="23"/>
        <v>2100</v>
      </c>
      <c r="I173" s="177">
        <f t="shared" si="24"/>
        <v>643.5</v>
      </c>
      <c r="J173" s="178"/>
      <c r="K173" s="178"/>
      <c r="L173" s="178"/>
      <c r="M173" s="178"/>
      <c r="N173" s="178"/>
      <c r="O173" s="178"/>
      <c r="P173" s="178"/>
      <c r="Q173" s="179"/>
    </row>
    <row r="174" spans="1:17" s="50" customFormat="1" ht="25" customHeight="1">
      <c r="A174" s="269" t="s">
        <v>228</v>
      </c>
      <c r="B174" s="270" t="s">
        <v>667</v>
      </c>
      <c r="C174" s="296">
        <v>2</v>
      </c>
      <c r="D174" s="356">
        <v>1</v>
      </c>
      <c r="E174" s="296">
        <v>1</v>
      </c>
      <c r="F174" s="180">
        <f t="shared" si="22"/>
        <v>33</v>
      </c>
      <c r="G174" s="222">
        <v>50</v>
      </c>
      <c r="H174" s="268">
        <f t="shared" si="23"/>
        <v>100</v>
      </c>
      <c r="I174" s="177">
        <f t="shared" si="24"/>
        <v>33</v>
      </c>
      <c r="J174" s="178"/>
      <c r="K174" s="178"/>
      <c r="L174" s="178"/>
      <c r="M174" s="178"/>
      <c r="N174" s="178"/>
      <c r="O174" s="178"/>
      <c r="P174" s="178"/>
      <c r="Q174" s="179"/>
    </row>
    <row r="175" spans="1:17" s="50" customFormat="1" ht="25" customHeight="1">
      <c r="A175" s="269" t="s">
        <v>229</v>
      </c>
      <c r="B175" s="270" t="s">
        <v>406</v>
      </c>
      <c r="C175" s="296">
        <v>2</v>
      </c>
      <c r="D175" s="356">
        <v>1</v>
      </c>
      <c r="E175" s="296">
        <v>1</v>
      </c>
      <c r="F175" s="180">
        <f t="shared" si="22"/>
        <v>33</v>
      </c>
      <c r="G175" s="222">
        <v>55</v>
      </c>
      <c r="H175" s="268">
        <f t="shared" si="23"/>
        <v>110</v>
      </c>
      <c r="I175" s="177">
        <f t="shared" si="24"/>
        <v>33</v>
      </c>
      <c r="J175" s="178"/>
      <c r="K175" s="178"/>
      <c r="L175" s="178"/>
      <c r="M175" s="178"/>
      <c r="N175" s="178"/>
      <c r="O175" s="178"/>
      <c r="P175" s="178"/>
      <c r="Q175" s="179"/>
    </row>
    <row r="176" spans="1:17" s="50" customFormat="1" ht="25" customHeight="1">
      <c r="A176" s="269" t="s">
        <v>283</v>
      </c>
      <c r="B176" s="270" t="s">
        <v>668</v>
      </c>
      <c r="C176" s="357">
        <v>3</v>
      </c>
      <c r="D176" s="356">
        <v>1</v>
      </c>
      <c r="E176" s="357">
        <v>1</v>
      </c>
      <c r="F176" s="180">
        <f t="shared" si="22"/>
        <v>49.5</v>
      </c>
      <c r="G176" s="222">
        <v>30</v>
      </c>
      <c r="H176" s="268">
        <f t="shared" si="23"/>
        <v>90</v>
      </c>
      <c r="I176" s="177">
        <f t="shared" si="24"/>
        <v>49.5</v>
      </c>
      <c r="J176" s="178"/>
      <c r="K176" s="178"/>
      <c r="L176" s="178"/>
      <c r="M176" s="178"/>
      <c r="N176" s="178"/>
      <c r="O176" s="178"/>
      <c r="P176" s="178"/>
      <c r="Q176" s="179"/>
    </row>
    <row r="177" spans="1:17" s="50" customFormat="1" ht="25" customHeight="1">
      <c r="A177" s="269" t="s">
        <v>284</v>
      </c>
      <c r="B177" s="270" t="s">
        <v>407</v>
      </c>
      <c r="C177" s="357">
        <v>2</v>
      </c>
      <c r="D177" s="356">
        <v>1</v>
      </c>
      <c r="E177" s="357">
        <v>1</v>
      </c>
      <c r="F177" s="180">
        <f t="shared" si="22"/>
        <v>33</v>
      </c>
      <c r="G177" s="222">
        <v>30</v>
      </c>
      <c r="H177" s="268">
        <f t="shared" si="23"/>
        <v>60</v>
      </c>
      <c r="I177" s="177">
        <f t="shared" si="24"/>
        <v>33</v>
      </c>
      <c r="J177" s="178"/>
      <c r="K177" s="178"/>
      <c r="L177" s="178"/>
      <c r="M177" s="178"/>
      <c r="N177" s="178"/>
      <c r="O177" s="178"/>
      <c r="P177" s="178"/>
      <c r="Q177" s="179"/>
    </row>
    <row r="178" spans="1:17" s="50" customFormat="1" ht="25" customHeight="1">
      <c r="A178" s="269" t="s">
        <v>287</v>
      </c>
      <c r="B178" s="270" t="s">
        <v>669</v>
      </c>
      <c r="C178" s="357">
        <v>2</v>
      </c>
      <c r="D178" s="356">
        <v>1</v>
      </c>
      <c r="E178" s="357">
        <v>1</v>
      </c>
      <c r="F178" s="180">
        <f t="shared" si="22"/>
        <v>33</v>
      </c>
      <c r="G178" s="222">
        <v>40</v>
      </c>
      <c r="H178" s="268">
        <f t="shared" si="23"/>
        <v>80</v>
      </c>
      <c r="I178" s="177">
        <f t="shared" si="24"/>
        <v>33</v>
      </c>
      <c r="J178" s="178"/>
      <c r="K178" s="178"/>
      <c r="L178" s="178"/>
      <c r="M178" s="178"/>
      <c r="N178" s="178"/>
      <c r="O178" s="178"/>
      <c r="P178" s="178"/>
      <c r="Q178" s="179"/>
    </row>
    <row r="179" spans="1:17" s="50" customFormat="1" ht="25" customHeight="1">
      <c r="A179" s="269" t="s">
        <v>288</v>
      </c>
      <c r="B179" s="270" t="s">
        <v>670</v>
      </c>
      <c r="C179" s="357">
        <v>2</v>
      </c>
      <c r="D179" s="356">
        <v>1</v>
      </c>
      <c r="E179" s="357">
        <v>1</v>
      </c>
      <c r="F179" s="180">
        <f t="shared" si="22"/>
        <v>33</v>
      </c>
      <c r="G179" s="223">
        <v>40</v>
      </c>
      <c r="H179" s="268">
        <f t="shared" si="23"/>
        <v>80</v>
      </c>
      <c r="I179" s="177">
        <f t="shared" si="24"/>
        <v>33</v>
      </c>
      <c r="J179" s="178"/>
      <c r="K179" s="178"/>
      <c r="L179" s="178"/>
      <c r="M179" s="178"/>
      <c r="N179" s="178"/>
      <c r="O179" s="178"/>
      <c r="P179" s="178"/>
      <c r="Q179" s="179"/>
    </row>
    <row r="180" spans="1:17" s="50" customFormat="1" ht="25" customHeight="1">
      <c r="A180" s="269" t="s">
        <v>289</v>
      </c>
      <c r="B180" s="270" t="s">
        <v>408</v>
      </c>
      <c r="C180" s="357">
        <v>1</v>
      </c>
      <c r="D180" s="272">
        <v>1.4</v>
      </c>
      <c r="E180" s="357">
        <v>6</v>
      </c>
      <c r="F180" s="180">
        <f t="shared" si="22"/>
        <v>99</v>
      </c>
      <c r="G180" s="223">
        <v>40</v>
      </c>
      <c r="H180" s="268">
        <f t="shared" si="23"/>
        <v>335.99999999999994</v>
      </c>
      <c r="I180" s="177">
        <f t="shared" si="24"/>
        <v>99</v>
      </c>
      <c r="J180" s="178"/>
      <c r="K180" s="178"/>
      <c r="L180" s="178"/>
      <c r="M180" s="178"/>
      <c r="N180" s="178"/>
      <c r="O180" s="178"/>
      <c r="P180" s="178"/>
      <c r="Q180" s="179"/>
    </row>
    <row r="181" spans="1:17" s="50" customFormat="1" ht="25" customHeight="1">
      <c r="A181" s="269" t="s">
        <v>290</v>
      </c>
      <c r="B181" s="296" t="s">
        <v>409</v>
      </c>
      <c r="C181" s="357">
        <v>1</v>
      </c>
      <c r="D181" s="272">
        <v>1.4</v>
      </c>
      <c r="E181" s="357">
        <v>14</v>
      </c>
      <c r="F181" s="180">
        <f t="shared" si="22"/>
        <v>300.3</v>
      </c>
      <c r="G181" s="223">
        <v>80</v>
      </c>
      <c r="H181" s="268">
        <f t="shared" si="23"/>
        <v>1567.9999999999998</v>
      </c>
      <c r="I181" s="177">
        <f t="shared" si="24"/>
        <v>300.3</v>
      </c>
      <c r="J181" s="178"/>
      <c r="K181" s="178"/>
      <c r="L181" s="178"/>
      <c r="M181" s="178"/>
      <c r="N181" s="178"/>
      <c r="O181" s="178"/>
      <c r="P181" s="178"/>
      <c r="Q181" s="179"/>
    </row>
    <row r="182" spans="1:17" s="50" customFormat="1" ht="25" customHeight="1">
      <c r="A182" s="274"/>
      <c r="B182" s="284" t="s">
        <v>375</v>
      </c>
      <c r="C182" s="287">
        <f>SUM(C171:C181)</f>
        <v>27</v>
      </c>
      <c r="D182" s="287">
        <f>SUM(D171:D181)</f>
        <v>11.8</v>
      </c>
      <c r="E182" s="287">
        <f>SUM(E171:E181)</f>
        <v>52</v>
      </c>
      <c r="F182" s="180">
        <f t="shared" si="22"/>
        <v>30115.8</v>
      </c>
      <c r="G182" s="223">
        <v>80</v>
      </c>
      <c r="H182" s="268">
        <f t="shared" si="23"/>
        <v>1325376</v>
      </c>
      <c r="I182" s="177">
        <f t="shared" si="24"/>
        <v>30115.8</v>
      </c>
      <c r="J182" s="178"/>
      <c r="K182" s="178"/>
      <c r="L182" s="178"/>
      <c r="M182" s="178"/>
      <c r="N182" s="178"/>
      <c r="O182" s="178"/>
      <c r="P182" s="178"/>
      <c r="Q182" s="179"/>
    </row>
    <row r="183" spans="1:17" s="50" customFormat="1" ht="25" customHeight="1">
      <c r="A183" s="358">
        <v>2</v>
      </c>
      <c r="B183" s="358" t="s">
        <v>162</v>
      </c>
      <c r="C183" s="272"/>
      <c r="D183" s="272"/>
      <c r="E183" s="272"/>
      <c r="F183" s="180">
        <f t="shared" si="22"/>
        <v>0</v>
      </c>
      <c r="G183" s="223">
        <v>36</v>
      </c>
      <c r="H183" s="268">
        <f t="shared" si="23"/>
        <v>0</v>
      </c>
      <c r="I183" s="177">
        <f>E183*15</f>
        <v>0</v>
      </c>
      <c r="J183" s="178"/>
      <c r="K183" s="178"/>
      <c r="L183" s="178"/>
      <c r="M183" s="178"/>
      <c r="N183" s="178"/>
      <c r="O183" s="178"/>
      <c r="P183" s="178"/>
      <c r="Q183" s="179"/>
    </row>
    <row r="184" spans="1:17" s="50" customFormat="1" ht="25" customHeight="1">
      <c r="A184" s="317" t="s">
        <v>145</v>
      </c>
      <c r="B184" s="318" t="s">
        <v>163</v>
      </c>
      <c r="C184" s="272"/>
      <c r="D184" s="272"/>
      <c r="E184" s="272"/>
      <c r="F184" s="180">
        <f t="shared" si="22"/>
        <v>0</v>
      </c>
      <c r="G184" s="223">
        <v>20</v>
      </c>
      <c r="H184" s="268">
        <f t="shared" si="23"/>
        <v>0</v>
      </c>
      <c r="I184" s="177">
        <f>E184*15</f>
        <v>0</v>
      </c>
      <c r="J184" s="178"/>
      <c r="K184" s="178"/>
      <c r="L184" s="178"/>
      <c r="M184" s="178"/>
      <c r="N184" s="178"/>
      <c r="O184" s="178"/>
      <c r="P184" s="178"/>
      <c r="Q184" s="179"/>
    </row>
    <row r="185" spans="1:17" s="50" customFormat="1" ht="25" customHeight="1">
      <c r="A185" s="269" t="s">
        <v>224</v>
      </c>
      <c r="B185" s="270" t="s">
        <v>410</v>
      </c>
      <c r="C185" s="296">
        <v>3</v>
      </c>
      <c r="D185" s="356">
        <v>1</v>
      </c>
      <c r="E185" s="357">
        <v>3</v>
      </c>
      <c r="F185" s="200">
        <f>SUM(F171:F184)</f>
        <v>32681.55</v>
      </c>
      <c r="G185" s="207">
        <f>SUM(G171:G184)</f>
        <v>691</v>
      </c>
      <c r="H185" s="207">
        <f>SUM(H171:H184)</f>
        <v>1333970</v>
      </c>
      <c r="I185" s="207">
        <f>SUM(I171:I184)</f>
        <v>32681.55</v>
      </c>
      <c r="J185" s="178"/>
      <c r="K185" s="178"/>
      <c r="L185" s="178"/>
      <c r="M185" s="178"/>
      <c r="N185" s="178"/>
      <c r="O185" s="178"/>
      <c r="P185" s="178"/>
      <c r="Q185" s="179"/>
    </row>
    <row r="186" spans="1:17" s="50" customFormat="1" ht="25" customHeight="1">
      <c r="A186" s="269" t="s">
        <v>225</v>
      </c>
      <c r="B186" s="270" t="s">
        <v>411</v>
      </c>
      <c r="C186" s="296">
        <v>3</v>
      </c>
      <c r="D186" s="356">
        <v>1</v>
      </c>
      <c r="E186" s="357">
        <v>1</v>
      </c>
      <c r="F186" s="224"/>
      <c r="G186" s="224"/>
      <c r="H186" s="213"/>
      <c r="I186" s="214"/>
      <c r="J186" s="178"/>
      <c r="K186" s="178"/>
      <c r="L186" s="178"/>
      <c r="M186" s="178"/>
      <c r="N186" s="178"/>
      <c r="O186" s="178"/>
      <c r="P186" s="178"/>
      <c r="Q186" s="179"/>
    </row>
    <row r="187" spans="1:17" s="50" customFormat="1" ht="25" customHeight="1">
      <c r="A187" s="269" t="s">
        <v>226</v>
      </c>
      <c r="B187" s="285" t="s">
        <v>412</v>
      </c>
      <c r="C187" s="296">
        <v>3</v>
      </c>
      <c r="D187" s="356">
        <v>1</v>
      </c>
      <c r="E187" s="357">
        <v>1</v>
      </c>
      <c r="F187" s="224"/>
      <c r="G187" s="224"/>
      <c r="H187" s="213"/>
      <c r="I187" s="214"/>
      <c r="J187" s="178"/>
      <c r="K187" s="178"/>
      <c r="L187" s="178"/>
      <c r="M187" s="178"/>
      <c r="N187" s="178"/>
      <c r="O187" s="178"/>
      <c r="P187" s="178"/>
      <c r="Q187" s="179"/>
    </row>
    <row r="188" spans="1:17" s="50" customFormat="1" ht="25" customHeight="1">
      <c r="A188" s="269" t="s">
        <v>227</v>
      </c>
      <c r="B188" s="270" t="s">
        <v>413</v>
      </c>
      <c r="C188" s="296">
        <v>3</v>
      </c>
      <c r="D188" s="356">
        <v>1</v>
      </c>
      <c r="E188" s="357">
        <v>1</v>
      </c>
      <c r="F188" s="180">
        <f t="shared" ref="F188:F194" si="25">I188+J188+K188</f>
        <v>74.25</v>
      </c>
      <c r="G188" s="222">
        <v>15</v>
      </c>
      <c r="H188" s="268">
        <f>C188*D188*E188*G188</f>
        <v>45</v>
      </c>
      <c r="I188" s="177">
        <f t="shared" ref="I188:I194" si="26">IF(G188&lt;70, C188*E188*16.5*1*1.5, C188*E188*16.5*1.3*1.5)</f>
        <v>74.25</v>
      </c>
      <c r="J188" s="178"/>
      <c r="K188" s="178"/>
      <c r="L188" s="178"/>
      <c r="M188" s="178"/>
      <c r="N188" s="178"/>
      <c r="O188" s="178"/>
      <c r="P188" s="178"/>
      <c r="Q188" s="179"/>
    </row>
    <row r="189" spans="1:17" s="50" customFormat="1" ht="25" customHeight="1">
      <c r="A189" s="269" t="s">
        <v>228</v>
      </c>
      <c r="B189" s="273" t="s">
        <v>414</v>
      </c>
      <c r="C189" s="296">
        <v>3</v>
      </c>
      <c r="D189" s="356">
        <v>1</v>
      </c>
      <c r="E189" s="357">
        <v>3</v>
      </c>
      <c r="F189" s="180">
        <f t="shared" si="25"/>
        <v>222.75</v>
      </c>
      <c r="G189" s="222">
        <v>10</v>
      </c>
      <c r="H189" s="268">
        <f t="shared" ref="H189:H194" si="27">C189*D189*E189*G189</f>
        <v>90</v>
      </c>
      <c r="I189" s="177">
        <f t="shared" si="26"/>
        <v>222.75</v>
      </c>
      <c r="J189" s="178"/>
      <c r="K189" s="178"/>
      <c r="L189" s="178"/>
      <c r="M189" s="178"/>
      <c r="N189" s="178"/>
      <c r="O189" s="178"/>
      <c r="P189" s="178"/>
      <c r="Q189" s="179"/>
    </row>
    <row r="190" spans="1:17" s="50" customFormat="1" ht="25" customHeight="1">
      <c r="A190" s="269" t="s">
        <v>229</v>
      </c>
      <c r="B190" s="273" t="s">
        <v>415</v>
      </c>
      <c r="C190" s="296">
        <v>3</v>
      </c>
      <c r="D190" s="356">
        <v>1</v>
      </c>
      <c r="E190" s="357">
        <v>1</v>
      </c>
      <c r="F190" s="180">
        <f t="shared" si="25"/>
        <v>74.25</v>
      </c>
      <c r="G190" s="222">
        <v>10</v>
      </c>
      <c r="H190" s="268">
        <f t="shared" si="27"/>
        <v>30</v>
      </c>
      <c r="I190" s="177">
        <f t="shared" si="26"/>
        <v>74.25</v>
      </c>
      <c r="J190" s="178"/>
      <c r="K190" s="178"/>
      <c r="L190" s="178"/>
      <c r="M190" s="178"/>
      <c r="N190" s="178"/>
      <c r="O190" s="178"/>
      <c r="P190" s="178"/>
      <c r="Q190" s="179"/>
    </row>
    <row r="191" spans="1:17" s="50" customFormat="1" ht="25" customHeight="1">
      <c r="A191" s="269" t="s">
        <v>280</v>
      </c>
      <c r="B191" s="273" t="s">
        <v>416</v>
      </c>
      <c r="C191" s="296">
        <v>3</v>
      </c>
      <c r="D191" s="356">
        <v>1</v>
      </c>
      <c r="E191" s="357">
        <v>3</v>
      </c>
      <c r="F191" s="180">
        <f t="shared" si="25"/>
        <v>222.75</v>
      </c>
      <c r="G191" s="222">
        <v>10</v>
      </c>
      <c r="H191" s="268">
        <f t="shared" si="27"/>
        <v>90</v>
      </c>
      <c r="I191" s="177">
        <f t="shared" si="26"/>
        <v>222.75</v>
      </c>
      <c r="J191" s="178"/>
      <c r="K191" s="178"/>
      <c r="L191" s="178"/>
      <c r="M191" s="178"/>
      <c r="N191" s="178"/>
      <c r="O191" s="178"/>
      <c r="P191" s="178"/>
      <c r="Q191" s="179"/>
    </row>
    <row r="192" spans="1:17" s="50" customFormat="1" ht="25" customHeight="1">
      <c r="A192" s="274"/>
      <c r="B192" s="359" t="s">
        <v>375</v>
      </c>
      <c r="C192" s="287">
        <f>SUM(C185:C191)</f>
        <v>21</v>
      </c>
      <c r="D192" s="287">
        <f>SUM(D185:D191)</f>
        <v>7</v>
      </c>
      <c r="E192" s="287">
        <f>SUM(E185:E191)</f>
        <v>13</v>
      </c>
      <c r="F192" s="180">
        <f t="shared" si="25"/>
        <v>6756.75</v>
      </c>
      <c r="G192" s="222">
        <v>15</v>
      </c>
      <c r="H192" s="268">
        <f t="shared" si="27"/>
        <v>28665</v>
      </c>
      <c r="I192" s="177">
        <f t="shared" si="26"/>
        <v>6756.75</v>
      </c>
      <c r="J192" s="178"/>
      <c r="K192" s="178"/>
      <c r="L192" s="178"/>
      <c r="M192" s="178"/>
      <c r="N192" s="178"/>
      <c r="O192" s="178"/>
      <c r="P192" s="178"/>
      <c r="Q192" s="179"/>
    </row>
    <row r="193" spans="1:17" s="50" customFormat="1" ht="25" customHeight="1">
      <c r="A193" s="358" t="s">
        <v>7</v>
      </c>
      <c r="B193" s="358" t="s">
        <v>222</v>
      </c>
      <c r="C193" s="272"/>
      <c r="D193" s="272"/>
      <c r="E193" s="272"/>
      <c r="F193" s="180">
        <f t="shared" si="25"/>
        <v>0</v>
      </c>
      <c r="G193" s="222">
        <v>10</v>
      </c>
      <c r="H193" s="268">
        <f t="shared" si="27"/>
        <v>0</v>
      </c>
      <c r="I193" s="177">
        <f t="shared" si="26"/>
        <v>0</v>
      </c>
      <c r="J193" s="178"/>
      <c r="K193" s="178"/>
      <c r="L193" s="178"/>
      <c r="M193" s="178"/>
      <c r="N193" s="178"/>
      <c r="O193" s="178"/>
      <c r="P193" s="178"/>
      <c r="Q193" s="179"/>
    </row>
    <row r="194" spans="1:17" s="50" customFormat="1" ht="25" customHeight="1">
      <c r="A194" s="358">
        <v>1</v>
      </c>
      <c r="B194" s="318" t="s">
        <v>223</v>
      </c>
      <c r="C194" s="272"/>
      <c r="D194" s="272"/>
      <c r="E194" s="272"/>
      <c r="F194" s="180">
        <f t="shared" si="25"/>
        <v>0</v>
      </c>
      <c r="G194" s="222">
        <v>15</v>
      </c>
      <c r="H194" s="268">
        <f t="shared" si="27"/>
        <v>0</v>
      </c>
      <c r="I194" s="177">
        <f t="shared" si="26"/>
        <v>0</v>
      </c>
      <c r="J194" s="178"/>
      <c r="K194" s="178"/>
      <c r="L194" s="178"/>
      <c r="M194" s="178"/>
      <c r="N194" s="178"/>
      <c r="O194" s="178"/>
      <c r="P194" s="178"/>
      <c r="Q194" s="179"/>
    </row>
    <row r="195" spans="1:17" s="50" customFormat="1" ht="25" customHeight="1">
      <c r="A195" s="358" t="s">
        <v>145</v>
      </c>
      <c r="B195" s="318" t="s">
        <v>161</v>
      </c>
      <c r="C195" s="272"/>
      <c r="D195" s="272"/>
      <c r="E195" s="272"/>
      <c r="F195" s="200">
        <f>SUM(F188:F194)</f>
        <v>7350.75</v>
      </c>
      <c r="G195" s="207">
        <f>SUM(G188:G194)</f>
        <v>85</v>
      </c>
      <c r="H195" s="207">
        <f>SUM(H188:H194)</f>
        <v>28920</v>
      </c>
      <c r="I195" s="207">
        <f>SUM(I188:I194)</f>
        <v>7350.75</v>
      </c>
      <c r="J195" s="178"/>
      <c r="K195" s="178"/>
      <c r="L195" s="178"/>
      <c r="M195" s="178"/>
      <c r="N195" s="178"/>
      <c r="O195" s="178"/>
      <c r="P195" s="178"/>
      <c r="Q195" s="179"/>
    </row>
    <row r="196" spans="1:17" s="50" customFormat="1" ht="25" customHeight="1">
      <c r="A196" s="313" t="s">
        <v>224</v>
      </c>
      <c r="B196" s="270" t="s">
        <v>671</v>
      </c>
      <c r="C196" s="357">
        <v>5</v>
      </c>
      <c r="D196" s="356">
        <v>1</v>
      </c>
      <c r="E196" s="272">
        <v>25</v>
      </c>
      <c r="F196" s="224"/>
      <c r="G196" s="224"/>
      <c r="H196" s="224"/>
      <c r="I196" s="225"/>
      <c r="J196" s="225"/>
      <c r="K196" s="225"/>
      <c r="L196" s="225"/>
      <c r="M196" s="225"/>
      <c r="N196" s="225"/>
      <c r="O196" s="225"/>
      <c r="P196" s="225"/>
      <c r="Q196" s="226"/>
    </row>
    <row r="197" spans="1:17" s="50" customFormat="1" ht="25" customHeight="1">
      <c r="A197" s="313" t="s">
        <v>225</v>
      </c>
      <c r="B197" s="270" t="s">
        <v>672</v>
      </c>
      <c r="C197" s="357">
        <v>5</v>
      </c>
      <c r="D197" s="356">
        <v>1</v>
      </c>
      <c r="E197" s="272">
        <v>26</v>
      </c>
      <c r="F197" s="224"/>
      <c r="G197" s="224"/>
      <c r="H197" s="224"/>
      <c r="I197" s="225"/>
      <c r="J197" s="225"/>
      <c r="K197" s="225"/>
      <c r="L197" s="225"/>
      <c r="M197" s="225"/>
      <c r="N197" s="225"/>
      <c r="O197" s="225"/>
      <c r="P197" s="225"/>
      <c r="Q197" s="226"/>
    </row>
    <row r="198" spans="1:17" s="50" customFormat="1" ht="25" customHeight="1">
      <c r="A198" s="274"/>
      <c r="B198" s="284" t="s">
        <v>375</v>
      </c>
      <c r="C198" s="287">
        <f>SUM(C196:C197)</f>
        <v>10</v>
      </c>
      <c r="D198" s="287">
        <f>SUM(D196:D197)</f>
        <v>2</v>
      </c>
      <c r="E198" s="287">
        <f>SUM(E196:E197)</f>
        <v>51</v>
      </c>
      <c r="F198" s="224"/>
      <c r="G198" s="224"/>
      <c r="H198" s="224"/>
      <c r="I198" s="225"/>
      <c r="J198" s="225"/>
      <c r="K198" s="225"/>
      <c r="L198" s="225"/>
      <c r="M198" s="225"/>
      <c r="N198" s="225"/>
      <c r="O198" s="225"/>
      <c r="P198" s="225"/>
      <c r="Q198" s="226"/>
    </row>
    <row r="199" spans="1:17" s="50" customFormat="1" ht="25" customHeight="1">
      <c r="A199" s="327"/>
      <c r="B199" s="332" t="s">
        <v>419</v>
      </c>
      <c r="C199" s="321">
        <f>C182+C192+C198</f>
        <v>58</v>
      </c>
      <c r="D199" s="321">
        <f>D182+D192+D198</f>
        <v>20.8</v>
      </c>
      <c r="E199" s="321">
        <f>E182+E192+E198</f>
        <v>116</v>
      </c>
      <c r="F199" s="180">
        <f>I199+J199+K199</f>
        <v>111012</v>
      </c>
      <c r="G199" s="224">
        <v>50</v>
      </c>
      <c r="H199" s="268">
        <f>C199*D199*E199*G199</f>
        <v>6997120.0000000009</v>
      </c>
      <c r="I199" s="177">
        <f>IF(G199&lt;70, C199*E199*16.5*1, C199*E199*16.5*1.3)</f>
        <v>111012</v>
      </c>
      <c r="J199" s="225"/>
      <c r="K199" s="225"/>
      <c r="L199" s="225"/>
      <c r="M199" s="225"/>
      <c r="N199" s="225"/>
      <c r="O199" s="225"/>
      <c r="P199" s="225"/>
      <c r="Q199" s="226"/>
    </row>
    <row r="200" spans="1:17" s="50" customFormat="1" ht="25" customHeight="1">
      <c r="A200" s="217" t="s">
        <v>426</v>
      </c>
      <c r="B200" s="252" t="s">
        <v>427</v>
      </c>
      <c r="C200" s="216"/>
      <c r="D200" s="216"/>
      <c r="E200" s="216"/>
      <c r="F200" s="247"/>
      <c r="G200" s="216"/>
      <c r="H200" s="216"/>
      <c r="I200" s="216"/>
      <c r="J200" s="178"/>
      <c r="K200" s="178"/>
      <c r="L200" s="178"/>
      <c r="M200" s="178"/>
      <c r="N200" s="178"/>
      <c r="O200" s="178"/>
      <c r="P200" s="178"/>
      <c r="Q200" s="179"/>
    </row>
    <row r="201" spans="1:17" s="50" customFormat="1" ht="25" customHeight="1">
      <c r="A201" s="217" t="s">
        <v>6</v>
      </c>
      <c r="B201" s="217" t="s">
        <v>221</v>
      </c>
      <c r="C201" s="216"/>
      <c r="D201" s="216"/>
      <c r="E201" s="216"/>
      <c r="F201" s="247"/>
      <c r="G201" s="216"/>
      <c r="H201" s="216"/>
      <c r="I201" s="216"/>
      <c r="J201" s="178"/>
      <c r="K201" s="178"/>
      <c r="L201" s="178"/>
      <c r="M201" s="178"/>
      <c r="N201" s="178"/>
      <c r="O201" s="178"/>
      <c r="P201" s="178"/>
      <c r="Q201" s="179"/>
    </row>
    <row r="202" spans="1:17" s="50" customFormat="1" ht="25" customHeight="1">
      <c r="A202" s="217">
        <v>1</v>
      </c>
      <c r="B202" s="217" t="s">
        <v>4</v>
      </c>
      <c r="C202" s="216"/>
      <c r="D202" s="216"/>
      <c r="E202" s="216"/>
      <c r="F202" s="247"/>
      <c r="G202" s="216"/>
      <c r="H202" s="216"/>
      <c r="I202" s="216"/>
      <c r="J202" s="178"/>
      <c r="K202" s="178"/>
      <c r="L202" s="178"/>
      <c r="M202" s="178"/>
      <c r="N202" s="178"/>
      <c r="O202" s="178"/>
      <c r="P202" s="178"/>
      <c r="Q202" s="179"/>
    </row>
    <row r="203" spans="1:17" s="50" customFormat="1" ht="25" customHeight="1">
      <c r="A203" s="269" t="s">
        <v>224</v>
      </c>
      <c r="B203" s="270" t="s">
        <v>673</v>
      </c>
      <c r="C203" s="271">
        <v>4</v>
      </c>
      <c r="D203" s="271">
        <v>1</v>
      </c>
      <c r="E203" s="271">
        <v>10</v>
      </c>
      <c r="F203" s="224"/>
      <c r="G203" s="220"/>
      <c r="H203" s="220"/>
      <c r="I203" s="227"/>
      <c r="J203" s="178"/>
      <c r="K203" s="178"/>
      <c r="L203" s="178"/>
      <c r="M203" s="178"/>
      <c r="N203" s="178"/>
      <c r="O203" s="178"/>
      <c r="P203" s="178"/>
      <c r="Q203" s="179"/>
    </row>
    <row r="204" spans="1:17" s="50" customFormat="1" ht="25" customHeight="1">
      <c r="A204" s="269" t="s">
        <v>225</v>
      </c>
      <c r="B204" s="270" t="s">
        <v>674</v>
      </c>
      <c r="C204" s="272">
        <v>3</v>
      </c>
      <c r="D204" s="272">
        <v>1</v>
      </c>
      <c r="E204" s="272">
        <v>4</v>
      </c>
      <c r="F204" s="180">
        <f t="shared" ref="F204:F210" si="28">I204+J204+K204</f>
        <v>257.40000000000003</v>
      </c>
      <c r="G204" s="228">
        <v>70</v>
      </c>
      <c r="H204" s="268">
        <f t="shared" ref="H204:H210" si="29">C204*D204*E204*G204</f>
        <v>840</v>
      </c>
      <c r="I204" s="177">
        <f t="shared" ref="I204:I210" si="30">IF(G204&lt;70, C204*E204*16.5*1, C204*E204*16.5*1.3)</f>
        <v>257.40000000000003</v>
      </c>
      <c r="J204" s="178"/>
      <c r="K204" s="178"/>
      <c r="L204" s="178"/>
      <c r="M204" s="178"/>
      <c r="N204" s="178"/>
      <c r="O204" s="178"/>
      <c r="P204" s="178"/>
      <c r="Q204" s="179"/>
    </row>
    <row r="205" spans="1:17" s="50" customFormat="1" ht="25" customHeight="1">
      <c r="A205" s="269" t="s">
        <v>226</v>
      </c>
      <c r="B205" s="285" t="s">
        <v>421</v>
      </c>
      <c r="C205" s="272">
        <v>3</v>
      </c>
      <c r="D205" s="272">
        <v>1</v>
      </c>
      <c r="E205" s="272">
        <v>3</v>
      </c>
      <c r="F205" s="180">
        <f t="shared" si="28"/>
        <v>193.05</v>
      </c>
      <c r="G205" s="224">
        <v>70</v>
      </c>
      <c r="H205" s="268">
        <f t="shared" si="29"/>
        <v>630</v>
      </c>
      <c r="I205" s="177">
        <f t="shared" si="30"/>
        <v>193.05</v>
      </c>
      <c r="J205" s="178"/>
      <c r="K205" s="178"/>
      <c r="L205" s="178"/>
      <c r="M205" s="178"/>
      <c r="N205" s="178"/>
      <c r="O205" s="178"/>
      <c r="P205" s="178"/>
      <c r="Q205" s="179"/>
    </row>
    <row r="206" spans="1:17" s="50" customFormat="1" ht="25" customHeight="1">
      <c r="A206" s="269" t="s">
        <v>227</v>
      </c>
      <c r="B206" s="285" t="s">
        <v>422</v>
      </c>
      <c r="C206" s="272">
        <v>4</v>
      </c>
      <c r="D206" s="272">
        <v>1</v>
      </c>
      <c r="E206" s="272">
        <v>3</v>
      </c>
      <c r="F206" s="180">
        <f t="shared" si="28"/>
        <v>257.40000000000003</v>
      </c>
      <c r="G206" s="224">
        <v>70</v>
      </c>
      <c r="H206" s="268">
        <f t="shared" si="29"/>
        <v>840</v>
      </c>
      <c r="I206" s="177">
        <f t="shared" si="30"/>
        <v>257.40000000000003</v>
      </c>
      <c r="J206" s="178"/>
      <c r="K206" s="178"/>
      <c r="L206" s="178"/>
      <c r="M206" s="178"/>
      <c r="N206" s="178"/>
      <c r="O206" s="178"/>
      <c r="P206" s="178"/>
      <c r="Q206" s="179"/>
    </row>
    <row r="207" spans="1:17" s="50" customFormat="1" ht="25" customHeight="1">
      <c r="A207" s="269" t="s">
        <v>228</v>
      </c>
      <c r="B207" s="285" t="s">
        <v>423</v>
      </c>
      <c r="C207" s="272">
        <v>4</v>
      </c>
      <c r="D207" s="272">
        <v>1</v>
      </c>
      <c r="E207" s="272">
        <v>4</v>
      </c>
      <c r="F207" s="180">
        <f t="shared" si="28"/>
        <v>343.2</v>
      </c>
      <c r="G207" s="224">
        <v>70</v>
      </c>
      <c r="H207" s="268">
        <f t="shared" si="29"/>
        <v>1120</v>
      </c>
      <c r="I207" s="177">
        <f t="shared" si="30"/>
        <v>343.2</v>
      </c>
      <c r="J207" s="178"/>
      <c r="K207" s="178"/>
      <c r="L207" s="178"/>
      <c r="M207" s="178"/>
      <c r="N207" s="178"/>
      <c r="O207" s="178"/>
      <c r="P207" s="178"/>
      <c r="Q207" s="179"/>
    </row>
    <row r="208" spans="1:17" s="50" customFormat="1" ht="25" customHeight="1">
      <c r="A208" s="269" t="s">
        <v>229</v>
      </c>
      <c r="B208" s="273" t="s">
        <v>424</v>
      </c>
      <c r="C208" s="272">
        <v>4</v>
      </c>
      <c r="D208" s="272">
        <v>1</v>
      </c>
      <c r="E208" s="272">
        <v>1</v>
      </c>
      <c r="F208" s="180">
        <f t="shared" si="28"/>
        <v>85.8</v>
      </c>
      <c r="G208" s="224">
        <v>70</v>
      </c>
      <c r="H208" s="268">
        <f t="shared" si="29"/>
        <v>280</v>
      </c>
      <c r="I208" s="177">
        <f t="shared" si="30"/>
        <v>85.8</v>
      </c>
      <c r="J208" s="178"/>
      <c r="K208" s="178"/>
      <c r="L208" s="178"/>
      <c r="M208" s="178"/>
      <c r="N208" s="178"/>
      <c r="O208" s="178"/>
      <c r="P208" s="178"/>
      <c r="Q208" s="179"/>
    </row>
    <row r="209" spans="1:17" s="50" customFormat="1" ht="25" customHeight="1">
      <c r="A209" s="269" t="s">
        <v>675</v>
      </c>
      <c r="B209" s="273" t="s">
        <v>676</v>
      </c>
      <c r="C209" s="272">
        <v>2</v>
      </c>
      <c r="D209" s="272">
        <v>1</v>
      </c>
      <c r="E209" s="272">
        <v>4</v>
      </c>
      <c r="F209" s="180">
        <f t="shared" si="28"/>
        <v>171.6</v>
      </c>
      <c r="G209" s="224">
        <v>70</v>
      </c>
      <c r="H209" s="268">
        <f t="shared" si="29"/>
        <v>560</v>
      </c>
      <c r="I209" s="177">
        <f t="shared" si="30"/>
        <v>171.6</v>
      </c>
      <c r="J209" s="178"/>
      <c r="K209" s="178"/>
      <c r="L209" s="178"/>
      <c r="M209" s="178"/>
      <c r="N209" s="178"/>
      <c r="O209" s="178"/>
      <c r="P209" s="178"/>
      <c r="Q209" s="179"/>
    </row>
    <row r="210" spans="1:17" s="50" customFormat="1" ht="25" customHeight="1">
      <c r="A210" s="269" t="s">
        <v>677</v>
      </c>
      <c r="B210" s="273" t="s">
        <v>678</v>
      </c>
      <c r="C210" s="272">
        <v>2</v>
      </c>
      <c r="D210" s="272">
        <v>1</v>
      </c>
      <c r="E210" s="272">
        <v>10</v>
      </c>
      <c r="F210" s="180">
        <f t="shared" si="28"/>
        <v>429</v>
      </c>
      <c r="G210" s="224">
        <v>70</v>
      </c>
      <c r="H210" s="268">
        <f t="shared" si="29"/>
        <v>1400</v>
      </c>
      <c r="I210" s="177">
        <f t="shared" si="30"/>
        <v>429</v>
      </c>
      <c r="J210" s="178"/>
      <c r="K210" s="178"/>
      <c r="L210" s="178"/>
      <c r="M210" s="178"/>
      <c r="N210" s="178"/>
      <c r="O210" s="178"/>
      <c r="P210" s="178"/>
      <c r="Q210" s="179"/>
    </row>
    <row r="211" spans="1:17" s="50" customFormat="1" ht="25" customHeight="1">
      <c r="A211" s="269" t="s">
        <v>280</v>
      </c>
      <c r="B211" s="273" t="s">
        <v>425</v>
      </c>
      <c r="C211" s="272">
        <v>3</v>
      </c>
      <c r="D211" s="272">
        <v>1</v>
      </c>
      <c r="E211" s="272">
        <v>4</v>
      </c>
      <c r="F211" s="200">
        <f>SUM(F204:F210)</f>
        <v>1737.45</v>
      </c>
      <c r="G211" s="207">
        <f>SUM(G204:G210)</f>
        <v>490</v>
      </c>
      <c r="H211" s="207">
        <f>SUM(H204:H210)</f>
        <v>5670</v>
      </c>
      <c r="I211" s="207">
        <f>SUM(I204:I210)</f>
        <v>1737.45</v>
      </c>
      <c r="J211" s="178"/>
      <c r="K211" s="178"/>
      <c r="L211" s="178"/>
      <c r="M211" s="178"/>
      <c r="N211" s="178"/>
      <c r="O211" s="178"/>
      <c r="P211" s="178"/>
      <c r="Q211" s="179"/>
    </row>
    <row r="212" spans="1:17" s="50" customFormat="1" ht="25" customHeight="1">
      <c r="A212" s="274"/>
      <c r="B212" s="284" t="s">
        <v>375</v>
      </c>
      <c r="C212" s="287">
        <f>SUM(C203:C211)</f>
        <v>29</v>
      </c>
      <c r="D212" s="287">
        <f>SUM(D203:D211)</f>
        <v>9</v>
      </c>
      <c r="E212" s="287">
        <f>SUM(E203:E211)</f>
        <v>43</v>
      </c>
      <c r="F212" s="224"/>
      <c r="G212" s="224"/>
      <c r="H212" s="224"/>
      <c r="I212" s="225"/>
      <c r="J212" s="225"/>
      <c r="K212" s="225"/>
      <c r="L212" s="225"/>
      <c r="M212" s="225"/>
      <c r="N212" s="178"/>
      <c r="O212" s="178"/>
      <c r="P212" s="178"/>
      <c r="Q212" s="179"/>
    </row>
    <row r="213" spans="1:17" s="50" customFormat="1" ht="25" customHeight="1">
      <c r="A213" s="311" t="s">
        <v>146</v>
      </c>
      <c r="B213" s="312" t="s">
        <v>149</v>
      </c>
      <c r="C213" s="272"/>
      <c r="D213" s="272"/>
      <c r="E213" s="272"/>
      <c r="F213" s="224"/>
      <c r="G213" s="224"/>
      <c r="H213" s="224"/>
      <c r="I213" s="225"/>
      <c r="J213" s="225"/>
      <c r="K213" s="225"/>
      <c r="L213" s="225"/>
      <c r="M213" s="225"/>
      <c r="N213" s="178"/>
      <c r="O213" s="178"/>
      <c r="P213" s="178"/>
      <c r="Q213" s="179"/>
    </row>
    <row r="214" spans="1:17" s="50" customFormat="1" ht="25" customHeight="1">
      <c r="A214" s="313" t="s">
        <v>230</v>
      </c>
      <c r="B214" s="269" t="s">
        <v>152</v>
      </c>
      <c r="C214" s="272"/>
      <c r="D214" s="272"/>
      <c r="E214" s="272"/>
      <c r="F214" s="224"/>
      <c r="G214" s="224"/>
      <c r="H214" s="224"/>
      <c r="I214" s="225"/>
      <c r="J214" s="225"/>
      <c r="K214" s="225"/>
      <c r="L214" s="225"/>
      <c r="M214" s="225"/>
      <c r="N214" s="178"/>
      <c r="O214" s="178"/>
      <c r="P214" s="178"/>
      <c r="Q214" s="179"/>
    </row>
    <row r="215" spans="1:17" s="50" customFormat="1" ht="25" customHeight="1">
      <c r="A215" s="313" t="s">
        <v>231</v>
      </c>
      <c r="B215" s="269" t="s">
        <v>151</v>
      </c>
      <c r="C215" s="272"/>
      <c r="D215" s="272"/>
      <c r="E215" s="272"/>
      <c r="F215" s="224"/>
      <c r="G215" s="224"/>
      <c r="H215" s="224"/>
      <c r="I215" s="225"/>
      <c r="J215" s="225"/>
      <c r="K215" s="225"/>
      <c r="L215" s="225"/>
      <c r="M215" s="225"/>
      <c r="N215" s="178"/>
      <c r="O215" s="178"/>
      <c r="P215" s="178"/>
      <c r="Q215" s="179"/>
    </row>
    <row r="216" spans="1:17" s="50" customFormat="1" ht="25" customHeight="1">
      <c r="A216" s="313" t="s">
        <v>232</v>
      </c>
      <c r="B216" s="269" t="s">
        <v>153</v>
      </c>
      <c r="C216" s="272"/>
      <c r="D216" s="272"/>
      <c r="E216" s="272"/>
      <c r="F216" s="224"/>
      <c r="G216" s="224"/>
      <c r="H216" s="224"/>
      <c r="I216" s="225"/>
      <c r="J216" s="225"/>
      <c r="K216" s="225"/>
      <c r="L216" s="225"/>
      <c r="M216" s="225"/>
      <c r="N216" s="178"/>
      <c r="O216" s="178"/>
      <c r="P216" s="178"/>
      <c r="Q216" s="179"/>
    </row>
    <row r="217" spans="1:17" s="50" customFormat="1" ht="25" customHeight="1">
      <c r="A217" s="313" t="s">
        <v>233</v>
      </c>
      <c r="B217" s="269" t="s">
        <v>154</v>
      </c>
      <c r="C217" s="272"/>
      <c r="D217" s="272"/>
      <c r="E217" s="272"/>
      <c r="F217" s="224"/>
      <c r="G217" s="224"/>
      <c r="H217" s="224"/>
      <c r="I217" s="225"/>
      <c r="J217" s="225"/>
      <c r="K217" s="225"/>
      <c r="L217" s="225"/>
      <c r="M217" s="225"/>
      <c r="N217" s="178"/>
      <c r="O217" s="178"/>
      <c r="P217" s="178"/>
      <c r="Q217" s="179"/>
    </row>
    <row r="218" spans="1:17" s="50" customFormat="1" ht="25" customHeight="1">
      <c r="A218" s="313" t="s">
        <v>234</v>
      </c>
      <c r="B218" s="269" t="s">
        <v>155</v>
      </c>
      <c r="C218" s="272"/>
      <c r="D218" s="272"/>
      <c r="E218" s="272"/>
      <c r="F218" s="224"/>
      <c r="G218" s="224"/>
      <c r="H218" s="224"/>
      <c r="I218" s="225"/>
      <c r="J218" s="225"/>
      <c r="K218" s="225"/>
      <c r="L218" s="225"/>
      <c r="M218" s="225"/>
      <c r="N218" s="178"/>
      <c r="O218" s="178"/>
      <c r="P218" s="178"/>
      <c r="Q218" s="179"/>
    </row>
    <row r="219" spans="1:17" s="50" customFormat="1" ht="25" customHeight="1">
      <c r="A219" s="358">
        <v>2</v>
      </c>
      <c r="B219" s="358" t="s">
        <v>162</v>
      </c>
      <c r="C219" s="272"/>
      <c r="D219" s="272"/>
      <c r="E219" s="272"/>
      <c r="F219" s="224"/>
      <c r="G219" s="224"/>
      <c r="H219" s="224"/>
      <c r="I219" s="225"/>
      <c r="J219" s="225"/>
      <c r="K219" s="225"/>
      <c r="L219" s="225"/>
      <c r="M219" s="225"/>
      <c r="N219" s="178"/>
      <c r="O219" s="178"/>
      <c r="P219" s="178"/>
      <c r="Q219" s="179"/>
    </row>
    <row r="220" spans="1:17" s="50" customFormat="1" ht="25" customHeight="1">
      <c r="A220" s="317" t="s">
        <v>145</v>
      </c>
      <c r="B220" s="318" t="s">
        <v>163</v>
      </c>
      <c r="C220" s="272"/>
      <c r="D220" s="272"/>
      <c r="E220" s="272"/>
      <c r="F220" s="180">
        <f>I220+J220+K220</f>
        <v>0</v>
      </c>
      <c r="G220" s="224">
        <v>25</v>
      </c>
      <c r="H220" s="268">
        <f>C220*D220*E220*G220</f>
        <v>0</v>
      </c>
      <c r="I220" s="177">
        <f>IF(G220&lt;70, C220*E220*16.5*1.5, C220*E220*16.5*1.5)</f>
        <v>0</v>
      </c>
      <c r="J220" s="225"/>
      <c r="K220" s="225"/>
      <c r="L220" s="225"/>
      <c r="M220" s="225"/>
      <c r="N220" s="178"/>
      <c r="O220" s="178"/>
      <c r="P220" s="178"/>
      <c r="Q220" s="179"/>
    </row>
    <row r="221" spans="1:17" s="50" customFormat="1" ht="25" customHeight="1">
      <c r="A221" s="269" t="s">
        <v>224</v>
      </c>
      <c r="B221" s="285" t="s">
        <v>428</v>
      </c>
      <c r="C221" s="272">
        <v>3</v>
      </c>
      <c r="D221" s="272">
        <v>1</v>
      </c>
      <c r="E221" s="272">
        <v>3</v>
      </c>
      <c r="F221" s="180">
        <f>I221+J221+K221</f>
        <v>222.75</v>
      </c>
      <c r="G221" s="224">
        <v>15</v>
      </c>
      <c r="H221" s="268">
        <f>C221*D221*E221*G221</f>
        <v>135</v>
      </c>
      <c r="I221" s="177">
        <f>IF(G221&lt;70, C221*E221*16.5*1.5, C221*E221*16.5*1.5)</f>
        <v>222.75</v>
      </c>
      <c r="J221" s="225"/>
      <c r="K221" s="225"/>
      <c r="L221" s="225"/>
      <c r="M221" s="225"/>
      <c r="N221" s="178"/>
      <c r="O221" s="178"/>
      <c r="P221" s="178"/>
      <c r="Q221" s="179"/>
    </row>
    <row r="222" spans="1:17" s="50" customFormat="1" ht="25" customHeight="1">
      <c r="A222" s="269" t="s">
        <v>225</v>
      </c>
      <c r="B222" s="285" t="s">
        <v>429</v>
      </c>
      <c r="C222" s="272">
        <v>3</v>
      </c>
      <c r="D222" s="272">
        <v>1</v>
      </c>
      <c r="E222" s="272">
        <v>1</v>
      </c>
      <c r="F222" s="180">
        <f>I222+J222+K222</f>
        <v>74.25</v>
      </c>
      <c r="G222" s="224">
        <v>25</v>
      </c>
      <c r="H222" s="268">
        <f>C222*D222*E222*G222</f>
        <v>75</v>
      </c>
      <c r="I222" s="177">
        <f>IF(G222&lt;70, C222*E222*16.5*1.5, C222*E222*16.5*1.5)</f>
        <v>74.25</v>
      </c>
      <c r="J222" s="225"/>
      <c r="K222" s="225"/>
      <c r="L222" s="225"/>
      <c r="M222" s="225"/>
      <c r="N222" s="178"/>
      <c r="O222" s="178"/>
      <c r="P222" s="178"/>
      <c r="Q222" s="179"/>
    </row>
    <row r="223" spans="1:17" s="50" customFormat="1" ht="25" customHeight="1">
      <c r="A223" s="269"/>
      <c r="B223" s="285" t="s">
        <v>679</v>
      </c>
      <c r="C223" s="272">
        <v>3</v>
      </c>
      <c r="D223" s="272">
        <v>1</v>
      </c>
      <c r="E223" s="272">
        <v>1</v>
      </c>
      <c r="F223" s="224">
        <f>SUM(F220:F222)</f>
        <v>297</v>
      </c>
      <c r="G223" s="220">
        <f>SUM(G220:G222)</f>
        <v>65</v>
      </c>
      <c r="H223" s="220">
        <f>SUM(H220:H222)</f>
        <v>210</v>
      </c>
      <c r="I223" s="220">
        <f>SUM(I220:I222)</f>
        <v>297</v>
      </c>
      <c r="J223" s="225"/>
      <c r="K223" s="225"/>
      <c r="L223" s="225"/>
      <c r="M223" s="225"/>
      <c r="N223" s="178"/>
      <c r="O223" s="178"/>
      <c r="P223" s="178"/>
      <c r="Q223" s="179"/>
    </row>
    <row r="224" spans="1:17" s="50" customFormat="1" ht="25" customHeight="1">
      <c r="A224" s="269" t="s">
        <v>226</v>
      </c>
      <c r="B224" s="270" t="s">
        <v>430</v>
      </c>
      <c r="C224" s="272">
        <v>3</v>
      </c>
      <c r="D224" s="272">
        <v>1</v>
      </c>
      <c r="E224" s="272">
        <v>3</v>
      </c>
      <c r="F224" s="224"/>
      <c r="G224" s="224"/>
      <c r="H224" s="224"/>
      <c r="I224" s="225"/>
      <c r="J224" s="225"/>
      <c r="K224" s="225"/>
      <c r="L224" s="225"/>
      <c r="M224" s="225"/>
      <c r="N224" s="178"/>
      <c r="O224" s="178"/>
      <c r="P224" s="178"/>
      <c r="Q224" s="179"/>
    </row>
    <row r="225" spans="1:17" s="50" customFormat="1" ht="25" customHeight="1">
      <c r="A225" s="269"/>
      <c r="B225" s="322" t="s">
        <v>375</v>
      </c>
      <c r="C225" s="315">
        <f>SUM(C221:C224)</f>
        <v>12</v>
      </c>
      <c r="D225" s="315">
        <f>SUM(D221:D224)</f>
        <v>4</v>
      </c>
      <c r="E225" s="315">
        <f>SUM(E221:E224)</f>
        <v>8</v>
      </c>
      <c r="F225" s="224"/>
      <c r="G225" s="224"/>
      <c r="H225" s="224"/>
      <c r="I225" s="225"/>
      <c r="J225" s="225"/>
      <c r="K225" s="225"/>
      <c r="L225" s="225"/>
      <c r="M225" s="225"/>
      <c r="N225" s="178"/>
      <c r="O225" s="178"/>
      <c r="P225" s="178"/>
      <c r="Q225" s="179"/>
    </row>
    <row r="226" spans="1:17" s="50" customFormat="1" ht="25" customHeight="1">
      <c r="A226" s="311" t="s">
        <v>146</v>
      </c>
      <c r="B226" s="312" t="s">
        <v>680</v>
      </c>
      <c r="C226" s="272"/>
      <c r="D226" s="272"/>
      <c r="E226" s="272"/>
      <c r="F226" s="224"/>
      <c r="G226" s="224"/>
      <c r="H226" s="224"/>
      <c r="I226" s="225"/>
      <c r="J226" s="225"/>
      <c r="K226" s="225"/>
      <c r="L226" s="225"/>
      <c r="M226" s="225"/>
      <c r="N226" s="178"/>
      <c r="O226" s="178"/>
      <c r="P226" s="178"/>
      <c r="Q226" s="179"/>
    </row>
    <row r="227" spans="1:17" s="50" customFormat="1" ht="25" customHeight="1">
      <c r="A227" s="358">
        <v>3</v>
      </c>
      <c r="B227" s="358" t="s">
        <v>164</v>
      </c>
      <c r="C227" s="272"/>
      <c r="D227" s="272"/>
      <c r="E227" s="272"/>
      <c r="F227" s="224"/>
      <c r="G227" s="224"/>
      <c r="H227" s="224"/>
      <c r="I227" s="225"/>
      <c r="J227" s="225"/>
      <c r="K227" s="225"/>
      <c r="L227" s="225"/>
      <c r="M227" s="225"/>
      <c r="N227" s="178"/>
      <c r="O227" s="178"/>
      <c r="P227" s="178"/>
      <c r="Q227" s="179"/>
    </row>
    <row r="228" spans="1:17" s="50" customFormat="1" ht="25" customHeight="1">
      <c r="A228" s="317" t="s">
        <v>145</v>
      </c>
      <c r="B228" s="318" t="s">
        <v>165</v>
      </c>
      <c r="C228" s="272"/>
      <c r="D228" s="272"/>
      <c r="E228" s="272"/>
      <c r="F228" s="224"/>
      <c r="G228" s="224"/>
      <c r="H228" s="224"/>
      <c r="I228" s="225"/>
      <c r="J228" s="225"/>
      <c r="K228" s="225"/>
      <c r="L228" s="225"/>
      <c r="M228" s="225"/>
      <c r="N228" s="178"/>
      <c r="O228" s="178"/>
      <c r="P228" s="178"/>
      <c r="Q228" s="179"/>
    </row>
    <row r="229" spans="1:17" s="50" customFormat="1" ht="25" customHeight="1">
      <c r="A229" s="311" t="s">
        <v>146</v>
      </c>
      <c r="B229" s="312" t="s">
        <v>166</v>
      </c>
      <c r="C229" s="272"/>
      <c r="D229" s="272"/>
      <c r="E229" s="272"/>
      <c r="F229" s="224">
        <f>F224+F227+F228</f>
        <v>0</v>
      </c>
      <c r="G229" s="220">
        <f>G224+G227+G228</f>
        <v>0</v>
      </c>
      <c r="H229" s="220">
        <f>H224+H227+H228</f>
        <v>0</v>
      </c>
      <c r="I229" s="220">
        <f>I224+I227+I228</f>
        <v>0</v>
      </c>
      <c r="J229" s="225"/>
      <c r="K229" s="225"/>
      <c r="L229" s="225"/>
      <c r="M229" s="225"/>
      <c r="N229" s="178"/>
      <c r="O229" s="178"/>
      <c r="P229" s="178"/>
      <c r="Q229" s="179"/>
    </row>
    <row r="230" spans="1:17" s="50" customFormat="1" ht="25" customHeight="1">
      <c r="A230" s="311" t="s">
        <v>167</v>
      </c>
      <c r="B230" s="312" t="s">
        <v>168</v>
      </c>
      <c r="C230" s="272"/>
      <c r="D230" s="272"/>
      <c r="E230" s="272"/>
      <c r="F230" s="224"/>
      <c r="G230" s="224"/>
      <c r="H230" s="224"/>
      <c r="I230" s="225"/>
      <c r="J230" s="225"/>
      <c r="K230" s="225"/>
      <c r="L230" s="225"/>
      <c r="M230" s="225"/>
      <c r="N230" s="178"/>
      <c r="O230" s="178"/>
      <c r="P230" s="178"/>
      <c r="Q230" s="179"/>
    </row>
    <row r="231" spans="1:17" s="50" customFormat="1" ht="25" customHeight="1">
      <c r="A231" s="313"/>
      <c r="B231" s="314" t="s">
        <v>433</v>
      </c>
      <c r="C231" s="315">
        <f>C229+C230</f>
        <v>0</v>
      </c>
      <c r="D231" s="315">
        <f>D226+D229+D230</f>
        <v>0</v>
      </c>
      <c r="E231" s="315">
        <f>E226+E229+E230</f>
        <v>0</v>
      </c>
      <c r="F231" s="224"/>
      <c r="G231" s="224"/>
      <c r="H231" s="224"/>
      <c r="I231" s="225"/>
      <c r="J231" s="225"/>
      <c r="K231" s="225"/>
      <c r="L231" s="225"/>
      <c r="M231" s="225"/>
      <c r="N231" s="178"/>
      <c r="O231" s="178"/>
      <c r="P231" s="178"/>
      <c r="Q231" s="179"/>
    </row>
    <row r="232" spans="1:17" s="50" customFormat="1" ht="25" customHeight="1">
      <c r="A232" s="358" t="s">
        <v>7</v>
      </c>
      <c r="B232" s="358" t="s">
        <v>222</v>
      </c>
      <c r="C232" s="272"/>
      <c r="D232" s="272"/>
      <c r="E232" s="272"/>
      <c r="F232" s="224"/>
      <c r="G232" s="224"/>
      <c r="H232" s="224"/>
      <c r="I232" s="225"/>
      <c r="J232" s="225"/>
      <c r="K232" s="225"/>
      <c r="L232" s="225"/>
      <c r="M232" s="225"/>
      <c r="N232" s="178"/>
      <c r="O232" s="178"/>
      <c r="P232" s="178"/>
      <c r="Q232" s="179"/>
    </row>
    <row r="233" spans="1:17" s="50" customFormat="1" ht="25" customHeight="1">
      <c r="A233" s="358">
        <v>1</v>
      </c>
      <c r="B233" s="318" t="s">
        <v>223</v>
      </c>
      <c r="C233" s="272"/>
      <c r="D233" s="272"/>
      <c r="E233" s="272"/>
      <c r="F233" s="180">
        <f t="shared" ref="F233:F238" si="31">I233+J233+K233</f>
        <v>0</v>
      </c>
      <c r="G233" s="224">
        <v>60</v>
      </c>
      <c r="H233" s="268">
        <f t="shared" ref="H233:H238" si="32">C233*D233*E233*G233</f>
        <v>0</v>
      </c>
      <c r="I233" s="177">
        <f t="shared" ref="I233:I238" si="33">IF(G233&lt;70, C233*E233*16.5*1, C233*E233*16.5*1.3)</f>
        <v>0</v>
      </c>
      <c r="J233" s="225"/>
      <c r="K233" s="225"/>
      <c r="L233" s="225"/>
      <c r="M233" s="225"/>
      <c r="N233" s="178"/>
      <c r="O233" s="178"/>
      <c r="P233" s="178"/>
      <c r="Q233" s="179"/>
    </row>
    <row r="234" spans="1:17" s="50" customFormat="1" ht="25" customHeight="1">
      <c r="A234" s="358" t="s">
        <v>145</v>
      </c>
      <c r="B234" s="318" t="s">
        <v>161</v>
      </c>
      <c r="C234" s="272"/>
      <c r="D234" s="272"/>
      <c r="E234" s="272"/>
      <c r="F234" s="180">
        <f t="shared" si="31"/>
        <v>0</v>
      </c>
      <c r="G234" s="224">
        <v>60</v>
      </c>
      <c r="H234" s="268">
        <f t="shared" si="32"/>
        <v>0</v>
      </c>
      <c r="I234" s="177">
        <f t="shared" si="33"/>
        <v>0</v>
      </c>
      <c r="J234" s="225"/>
      <c r="K234" s="225"/>
      <c r="L234" s="225"/>
      <c r="M234" s="225"/>
      <c r="N234" s="178"/>
      <c r="O234" s="178"/>
      <c r="P234" s="178"/>
      <c r="Q234" s="179"/>
    </row>
    <row r="235" spans="1:17" s="50" customFormat="1" ht="25" customHeight="1">
      <c r="A235" s="313" t="s">
        <v>224</v>
      </c>
      <c r="B235" s="285" t="s">
        <v>681</v>
      </c>
      <c r="C235" s="272">
        <v>5</v>
      </c>
      <c r="D235" s="272">
        <v>1</v>
      </c>
      <c r="E235" s="272">
        <v>16</v>
      </c>
      <c r="F235" s="180">
        <f t="shared" si="31"/>
        <v>1320</v>
      </c>
      <c r="G235" s="224">
        <v>60</v>
      </c>
      <c r="H235" s="268">
        <f t="shared" si="32"/>
        <v>4800</v>
      </c>
      <c r="I235" s="177">
        <f t="shared" si="33"/>
        <v>1320</v>
      </c>
      <c r="J235" s="225"/>
      <c r="K235" s="225"/>
      <c r="L235" s="225"/>
      <c r="M235" s="225"/>
      <c r="N235" s="178"/>
      <c r="O235" s="178"/>
      <c r="P235" s="178"/>
      <c r="Q235" s="179"/>
    </row>
    <row r="236" spans="1:17" s="50" customFormat="1" ht="25" customHeight="1">
      <c r="A236" s="313" t="s">
        <v>225</v>
      </c>
      <c r="B236" s="285" t="s">
        <v>431</v>
      </c>
      <c r="C236" s="272">
        <v>5</v>
      </c>
      <c r="D236" s="272">
        <v>1</v>
      </c>
      <c r="E236" s="272">
        <v>7</v>
      </c>
      <c r="F236" s="180">
        <f t="shared" si="31"/>
        <v>577.5</v>
      </c>
      <c r="G236" s="224">
        <v>60</v>
      </c>
      <c r="H236" s="268">
        <f t="shared" si="32"/>
        <v>2100</v>
      </c>
      <c r="I236" s="177">
        <f t="shared" si="33"/>
        <v>577.5</v>
      </c>
      <c r="J236" s="225"/>
      <c r="K236" s="225"/>
      <c r="L236" s="225"/>
      <c r="M236" s="225"/>
      <c r="N236" s="178"/>
      <c r="O236" s="178"/>
      <c r="P236" s="178"/>
      <c r="Q236" s="179"/>
    </row>
    <row r="237" spans="1:17" s="50" customFormat="1" ht="25" customHeight="1">
      <c r="A237" s="313" t="s">
        <v>226</v>
      </c>
      <c r="B237" s="285" t="s">
        <v>420</v>
      </c>
      <c r="C237" s="272">
        <v>3</v>
      </c>
      <c r="D237" s="272">
        <v>1</v>
      </c>
      <c r="E237" s="272">
        <v>16</v>
      </c>
      <c r="F237" s="180">
        <f t="shared" si="31"/>
        <v>792</v>
      </c>
      <c r="G237" s="186">
        <v>50</v>
      </c>
      <c r="H237" s="268">
        <f t="shared" si="32"/>
        <v>2400</v>
      </c>
      <c r="I237" s="177">
        <f t="shared" si="33"/>
        <v>792</v>
      </c>
      <c r="J237" s="225"/>
      <c r="K237" s="225"/>
      <c r="L237" s="225"/>
      <c r="M237" s="225"/>
      <c r="N237" s="178"/>
      <c r="O237" s="178"/>
      <c r="P237" s="178"/>
      <c r="Q237" s="179"/>
    </row>
    <row r="238" spans="1:17" s="50" customFormat="1" ht="25" customHeight="1">
      <c r="A238" s="313" t="s">
        <v>227</v>
      </c>
      <c r="B238" s="285" t="s">
        <v>432</v>
      </c>
      <c r="C238" s="272">
        <v>3</v>
      </c>
      <c r="D238" s="272">
        <v>1</v>
      </c>
      <c r="E238" s="272">
        <v>7</v>
      </c>
      <c r="F238" s="180">
        <f t="shared" si="31"/>
        <v>346.5</v>
      </c>
      <c r="G238" s="186">
        <v>50</v>
      </c>
      <c r="H238" s="268">
        <f t="shared" si="32"/>
        <v>1050</v>
      </c>
      <c r="I238" s="177">
        <f t="shared" si="33"/>
        <v>346.5</v>
      </c>
      <c r="J238" s="225"/>
      <c r="K238" s="225"/>
      <c r="L238" s="225"/>
      <c r="M238" s="225"/>
      <c r="N238" s="178"/>
      <c r="O238" s="178"/>
      <c r="P238" s="178"/>
      <c r="Q238" s="179"/>
    </row>
    <row r="239" spans="1:17" s="50" customFormat="1" ht="25" customHeight="1">
      <c r="A239" s="313" t="s">
        <v>228</v>
      </c>
      <c r="B239" s="285" t="s">
        <v>498</v>
      </c>
      <c r="C239" s="276">
        <v>5</v>
      </c>
      <c r="D239" s="276">
        <v>1</v>
      </c>
      <c r="E239" s="276">
        <v>7</v>
      </c>
      <c r="F239" s="200">
        <f>SUM(F233:F238)</f>
        <v>3036</v>
      </c>
      <c r="G239" s="207">
        <f>SUM(G233:G238)</f>
        <v>340</v>
      </c>
      <c r="H239" s="207">
        <f>SUM(H233:H238)</f>
        <v>10350</v>
      </c>
      <c r="I239" s="207">
        <f>SUM(I233:I238)</f>
        <v>3036</v>
      </c>
      <c r="J239" s="178"/>
      <c r="K239" s="178"/>
      <c r="L239" s="178"/>
      <c r="M239" s="178"/>
      <c r="N239" s="178"/>
      <c r="O239" s="178"/>
      <c r="P239" s="178"/>
      <c r="Q239" s="179"/>
    </row>
    <row r="240" spans="1:17" s="50" customFormat="1" ht="25" customHeight="1">
      <c r="A240" s="313" t="s">
        <v>229</v>
      </c>
      <c r="B240" s="285" t="s">
        <v>499</v>
      </c>
      <c r="C240" s="276">
        <v>5</v>
      </c>
      <c r="D240" s="276">
        <v>1</v>
      </c>
      <c r="E240" s="276">
        <v>16</v>
      </c>
      <c r="F240" s="246">
        <f>F211+F223+F229+F239</f>
        <v>5070.45</v>
      </c>
      <c r="G240" s="210">
        <f>G211+G223+G229+G239</f>
        <v>895</v>
      </c>
      <c r="H240" s="210">
        <f>H211+H223+H229+H239</f>
        <v>16230</v>
      </c>
      <c r="I240" s="210">
        <f>I211+I223+I229+I239</f>
        <v>5070.45</v>
      </c>
      <c r="J240" s="229">
        <v>0</v>
      </c>
      <c r="K240" s="230">
        <v>0</v>
      </c>
      <c r="L240" s="191">
        <f>'Bieu3 GDH'!F20</f>
        <v>1080</v>
      </c>
      <c r="M240" s="191">
        <f>'Bieu3 GDH'!N20</f>
        <v>1039.5</v>
      </c>
      <c r="N240" s="187">
        <f>I240-M240</f>
        <v>4030.95</v>
      </c>
      <c r="O240" s="191">
        <f>'Bieu3 GDH'!O20</f>
        <v>805.25</v>
      </c>
      <c r="P240" s="191">
        <f>'Bieu3 GDH'!P20</f>
        <v>370</v>
      </c>
      <c r="Q240" s="192"/>
    </row>
    <row r="241" spans="1:17" s="50" customFormat="1" ht="25" customHeight="1">
      <c r="A241" s="274"/>
      <c r="B241" s="284" t="s">
        <v>375</v>
      </c>
      <c r="C241" s="287">
        <f>SUM(C235:C240)</f>
        <v>26</v>
      </c>
      <c r="D241" s="287">
        <f>SUM(D235:D240)</f>
        <v>6</v>
      </c>
      <c r="E241" s="287">
        <f>SUM(E235:E240)</f>
        <v>69</v>
      </c>
      <c r="F241" s="365"/>
      <c r="G241" s="364"/>
      <c r="H241" s="364"/>
      <c r="I241" s="364"/>
      <c r="J241" s="366"/>
      <c r="K241" s="367"/>
      <c r="L241" s="294"/>
      <c r="M241" s="294"/>
      <c r="N241" s="289"/>
      <c r="O241" s="294"/>
      <c r="P241" s="294"/>
      <c r="Q241" s="295"/>
    </row>
    <row r="242" spans="1:17" s="50" customFormat="1" ht="25" customHeight="1">
      <c r="A242" s="327"/>
      <c r="B242" s="368" t="s">
        <v>434</v>
      </c>
      <c r="C242" s="321">
        <f>C4+C212+C225+C231+C241</f>
        <v>67</v>
      </c>
      <c r="D242" s="321">
        <f>D212+D225+D231+D241</f>
        <v>19</v>
      </c>
      <c r="E242" s="321">
        <f>E212+E225+E231+E241</f>
        <v>120</v>
      </c>
      <c r="F242" s="365"/>
      <c r="G242" s="364"/>
      <c r="H242" s="364"/>
      <c r="I242" s="364"/>
      <c r="J242" s="366"/>
      <c r="K242" s="367"/>
      <c r="L242" s="294"/>
      <c r="M242" s="294"/>
      <c r="N242" s="289"/>
      <c r="O242" s="294"/>
      <c r="P242" s="294"/>
      <c r="Q242" s="295"/>
    </row>
    <row r="243" spans="1:17" s="50" customFormat="1" ht="25" customHeight="1">
      <c r="A243" s="168" t="s">
        <v>5</v>
      </c>
      <c r="B243" s="168" t="s">
        <v>478</v>
      </c>
      <c r="C243" s="169"/>
      <c r="D243" s="169"/>
      <c r="E243" s="169"/>
      <c r="F243" s="244"/>
      <c r="G243" s="169"/>
      <c r="H243" s="169"/>
      <c r="I243" s="169"/>
      <c r="J243" s="169"/>
      <c r="K243" s="211"/>
      <c r="L243" s="212"/>
      <c r="M243" s="213"/>
      <c r="N243" s="213"/>
      <c r="O243" s="213"/>
      <c r="P243" s="213"/>
      <c r="Q243" s="213"/>
    </row>
    <row r="244" spans="1:17" s="50" customFormat="1" ht="25" customHeight="1">
      <c r="A244" s="168" t="s">
        <v>6</v>
      </c>
      <c r="B244" s="168" t="s">
        <v>221</v>
      </c>
      <c r="C244" s="169"/>
      <c r="D244" s="169"/>
      <c r="E244" s="169"/>
      <c r="F244" s="244"/>
      <c r="G244" s="169"/>
      <c r="H244" s="169"/>
      <c r="I244" s="169"/>
      <c r="J244" s="169"/>
      <c r="K244" s="211"/>
      <c r="L244" s="212"/>
      <c r="M244" s="213"/>
      <c r="N244" s="213"/>
      <c r="O244" s="213"/>
      <c r="P244" s="213"/>
      <c r="Q244" s="213"/>
    </row>
    <row r="245" spans="1:17" s="50" customFormat="1" ht="25" customHeight="1">
      <c r="A245" s="168">
        <v>1</v>
      </c>
      <c r="B245" s="168" t="s">
        <v>4</v>
      </c>
      <c r="C245" s="169"/>
      <c r="D245" s="169"/>
      <c r="E245" s="169"/>
      <c r="F245" s="244"/>
      <c r="G245" s="169"/>
      <c r="H245" s="169"/>
      <c r="I245" s="169"/>
      <c r="J245" s="169"/>
      <c r="K245" s="211"/>
      <c r="L245" s="212"/>
      <c r="M245" s="213"/>
      <c r="N245" s="213"/>
      <c r="O245" s="213"/>
      <c r="P245" s="213"/>
      <c r="Q245" s="213"/>
    </row>
    <row r="246" spans="1:17" s="50" customFormat="1" ht="25" customHeight="1">
      <c r="A246" s="170" t="s">
        <v>145</v>
      </c>
      <c r="B246" s="171" t="s">
        <v>159</v>
      </c>
      <c r="C246" s="172"/>
      <c r="D246" s="172"/>
      <c r="E246" s="172"/>
      <c r="F246" s="268"/>
      <c r="G246" s="172"/>
      <c r="H246" s="172"/>
      <c r="I246" s="173"/>
      <c r="J246" s="173"/>
      <c r="K246" s="211"/>
      <c r="L246" s="212"/>
      <c r="M246" s="213"/>
      <c r="N246" s="213"/>
      <c r="O246" s="213"/>
      <c r="P246" s="213"/>
      <c r="Q246" s="213"/>
    </row>
    <row r="247" spans="1:17" s="50" customFormat="1" ht="25" customHeight="1">
      <c r="A247" s="288" t="s">
        <v>224</v>
      </c>
      <c r="B247" s="296" t="s">
        <v>435</v>
      </c>
      <c r="C247" s="272">
        <v>2</v>
      </c>
      <c r="D247" s="297">
        <v>1</v>
      </c>
      <c r="E247" s="272">
        <v>1</v>
      </c>
      <c r="F247" s="180">
        <f t="shared" ref="F247:F272" si="34">I247+J247+K247</f>
        <v>33</v>
      </c>
      <c r="G247" s="268">
        <v>40</v>
      </c>
      <c r="H247" s="268">
        <f t="shared" ref="H247:H271" si="35">C247*D247*E247*G247</f>
        <v>80</v>
      </c>
      <c r="I247" s="177">
        <f t="shared" ref="I247:I272" si="36">IF(G247&lt;70, C247*E247*16.5*1, C247*E247*16.5*1.3)</f>
        <v>33</v>
      </c>
      <c r="J247" s="173"/>
      <c r="K247" s="211"/>
      <c r="L247" s="212"/>
      <c r="M247" s="213"/>
      <c r="N247" s="213"/>
      <c r="O247" s="213"/>
      <c r="P247" s="213"/>
      <c r="Q247" s="213"/>
    </row>
    <row r="248" spans="1:17" s="50" customFormat="1" ht="25" customHeight="1">
      <c r="A248" s="288" t="s">
        <v>225</v>
      </c>
      <c r="B248" s="323" t="s">
        <v>436</v>
      </c>
      <c r="C248" s="272">
        <v>3</v>
      </c>
      <c r="D248" s="272">
        <v>1</v>
      </c>
      <c r="E248" s="272">
        <v>1</v>
      </c>
      <c r="F248" s="180">
        <f t="shared" si="34"/>
        <v>49.5</v>
      </c>
      <c r="G248" s="268">
        <v>20</v>
      </c>
      <c r="H248" s="268">
        <f t="shared" si="35"/>
        <v>60</v>
      </c>
      <c r="I248" s="177">
        <f t="shared" si="36"/>
        <v>49.5</v>
      </c>
      <c r="J248" s="173"/>
      <c r="K248" s="211"/>
      <c r="L248" s="212"/>
      <c r="M248" s="213"/>
      <c r="N248" s="213"/>
      <c r="O248" s="213"/>
      <c r="P248" s="213"/>
      <c r="Q248" s="213"/>
    </row>
    <row r="249" spans="1:17" s="50" customFormat="1" ht="25" customHeight="1">
      <c r="A249" s="288" t="s">
        <v>226</v>
      </c>
      <c r="B249" s="270" t="s">
        <v>437</v>
      </c>
      <c r="C249" s="272">
        <v>2</v>
      </c>
      <c r="D249" s="272">
        <v>1</v>
      </c>
      <c r="E249" s="272">
        <v>3</v>
      </c>
      <c r="F249" s="180">
        <f t="shared" si="34"/>
        <v>128.70000000000002</v>
      </c>
      <c r="G249" s="268">
        <v>80</v>
      </c>
      <c r="H249" s="268">
        <f t="shared" si="35"/>
        <v>480</v>
      </c>
      <c r="I249" s="177">
        <f t="shared" si="36"/>
        <v>128.70000000000002</v>
      </c>
      <c r="J249" s="178"/>
      <c r="K249" s="211"/>
      <c r="L249" s="212"/>
      <c r="M249" s="213"/>
      <c r="N249" s="213"/>
      <c r="O249" s="213"/>
      <c r="P249" s="213"/>
      <c r="Q249" s="213"/>
    </row>
    <row r="250" spans="1:17" s="50" customFormat="1" ht="25" customHeight="1">
      <c r="A250" s="288" t="s">
        <v>227</v>
      </c>
      <c r="B250" s="296" t="s">
        <v>438</v>
      </c>
      <c r="C250" s="272">
        <v>3</v>
      </c>
      <c r="D250" s="272">
        <v>1</v>
      </c>
      <c r="E250" s="272">
        <v>1</v>
      </c>
      <c r="F250" s="180">
        <f t="shared" si="34"/>
        <v>64.350000000000009</v>
      </c>
      <c r="G250" s="268">
        <v>80</v>
      </c>
      <c r="H250" s="268">
        <f t="shared" si="35"/>
        <v>240</v>
      </c>
      <c r="I250" s="177">
        <f t="shared" si="36"/>
        <v>64.350000000000009</v>
      </c>
      <c r="J250" s="173"/>
      <c r="K250" s="211"/>
      <c r="L250" s="212"/>
      <c r="M250" s="213"/>
      <c r="N250" s="213"/>
      <c r="O250" s="213"/>
      <c r="P250" s="213"/>
      <c r="Q250" s="213"/>
    </row>
    <row r="251" spans="1:17" s="50" customFormat="1" ht="25" customHeight="1">
      <c r="A251" s="288" t="s">
        <v>228</v>
      </c>
      <c r="B251" s="270" t="s">
        <v>437</v>
      </c>
      <c r="C251" s="272">
        <v>2</v>
      </c>
      <c r="D251" s="272">
        <v>1</v>
      </c>
      <c r="E251" s="272">
        <v>2</v>
      </c>
      <c r="F251" s="180">
        <f t="shared" si="34"/>
        <v>85.8</v>
      </c>
      <c r="G251" s="268">
        <v>80</v>
      </c>
      <c r="H251" s="268">
        <f t="shared" si="35"/>
        <v>320</v>
      </c>
      <c r="I251" s="177">
        <f t="shared" si="36"/>
        <v>85.8</v>
      </c>
      <c r="J251" s="173"/>
      <c r="K251" s="211"/>
      <c r="L251" s="212"/>
      <c r="M251" s="213"/>
      <c r="N251" s="213"/>
      <c r="O251" s="213"/>
      <c r="P251" s="213"/>
      <c r="Q251" s="213"/>
    </row>
    <row r="252" spans="1:17" s="50" customFormat="1" ht="25" customHeight="1">
      <c r="A252" s="288" t="s">
        <v>229</v>
      </c>
      <c r="B252" s="296" t="s">
        <v>435</v>
      </c>
      <c r="C252" s="272">
        <v>2</v>
      </c>
      <c r="D252" s="272">
        <v>1</v>
      </c>
      <c r="E252" s="272">
        <v>1</v>
      </c>
      <c r="F252" s="180">
        <f t="shared" si="34"/>
        <v>42.9</v>
      </c>
      <c r="G252" s="268">
        <v>80</v>
      </c>
      <c r="H252" s="268">
        <f t="shared" si="35"/>
        <v>160</v>
      </c>
      <c r="I252" s="177">
        <f t="shared" si="36"/>
        <v>42.9</v>
      </c>
      <c r="J252" s="173"/>
      <c r="K252" s="211"/>
      <c r="L252" s="212"/>
      <c r="M252" s="213"/>
      <c r="N252" s="213"/>
      <c r="O252" s="213"/>
      <c r="P252" s="213"/>
      <c r="Q252" s="213"/>
    </row>
    <row r="253" spans="1:17" s="50" customFormat="1" ht="25" customHeight="1">
      <c r="A253" s="288" t="s">
        <v>280</v>
      </c>
      <c r="B253" s="285" t="s">
        <v>439</v>
      </c>
      <c r="C253" s="271">
        <v>3</v>
      </c>
      <c r="D253" s="297">
        <v>1</v>
      </c>
      <c r="E253" s="271">
        <v>1</v>
      </c>
      <c r="F253" s="180">
        <f t="shared" si="34"/>
        <v>49.5</v>
      </c>
      <c r="G253" s="177">
        <v>40</v>
      </c>
      <c r="H253" s="268">
        <f t="shared" si="35"/>
        <v>120</v>
      </c>
      <c r="I253" s="177">
        <f t="shared" si="36"/>
        <v>49.5</v>
      </c>
      <c r="J253" s="173"/>
      <c r="K253" s="211"/>
      <c r="L253" s="212"/>
      <c r="M253" s="213"/>
      <c r="N253" s="213"/>
      <c r="O253" s="213"/>
      <c r="P253" s="213"/>
      <c r="Q253" s="213"/>
    </row>
    <row r="254" spans="1:17" s="50" customFormat="1" ht="25" customHeight="1">
      <c r="A254" s="288" t="s">
        <v>281</v>
      </c>
      <c r="B254" s="285" t="s">
        <v>440</v>
      </c>
      <c r="C254" s="271">
        <v>2</v>
      </c>
      <c r="D254" s="297">
        <v>1</v>
      </c>
      <c r="E254" s="271">
        <v>1</v>
      </c>
      <c r="F254" s="180">
        <f t="shared" si="34"/>
        <v>33</v>
      </c>
      <c r="G254" s="177">
        <v>40</v>
      </c>
      <c r="H254" s="268">
        <f t="shared" si="35"/>
        <v>80</v>
      </c>
      <c r="I254" s="177">
        <f t="shared" si="36"/>
        <v>33</v>
      </c>
      <c r="J254" s="173"/>
      <c r="K254" s="211"/>
      <c r="L254" s="212"/>
      <c r="M254" s="213"/>
      <c r="N254" s="213"/>
      <c r="O254" s="213"/>
      <c r="P254" s="213"/>
      <c r="Q254" s="213"/>
    </row>
    <row r="255" spans="1:17" s="50" customFormat="1" ht="25" customHeight="1">
      <c r="A255" s="288" t="s">
        <v>282</v>
      </c>
      <c r="B255" s="285" t="s">
        <v>441</v>
      </c>
      <c r="C255" s="271">
        <v>3</v>
      </c>
      <c r="D255" s="297">
        <v>1</v>
      </c>
      <c r="E255" s="271">
        <v>1</v>
      </c>
      <c r="F255" s="180">
        <f t="shared" si="34"/>
        <v>49.5</v>
      </c>
      <c r="G255" s="177">
        <v>30</v>
      </c>
      <c r="H255" s="268">
        <f t="shared" si="35"/>
        <v>90</v>
      </c>
      <c r="I255" s="177">
        <f t="shared" si="36"/>
        <v>49.5</v>
      </c>
      <c r="J255" s="173"/>
      <c r="K255" s="211"/>
      <c r="L255" s="212"/>
      <c r="M255" s="213"/>
      <c r="N255" s="213"/>
      <c r="O255" s="213"/>
      <c r="P255" s="213"/>
      <c r="Q255" s="213"/>
    </row>
    <row r="256" spans="1:17" s="50" customFormat="1" ht="25" customHeight="1">
      <c r="A256" s="288" t="s">
        <v>283</v>
      </c>
      <c r="B256" s="285" t="s">
        <v>442</v>
      </c>
      <c r="C256" s="271">
        <v>4</v>
      </c>
      <c r="D256" s="297">
        <v>1</v>
      </c>
      <c r="E256" s="271">
        <v>1</v>
      </c>
      <c r="F256" s="180">
        <f t="shared" si="34"/>
        <v>66</v>
      </c>
      <c r="G256" s="177">
        <v>30</v>
      </c>
      <c r="H256" s="268">
        <f t="shared" si="35"/>
        <v>120</v>
      </c>
      <c r="I256" s="177">
        <f t="shared" si="36"/>
        <v>66</v>
      </c>
      <c r="J256" s="173"/>
      <c r="K256" s="211"/>
      <c r="L256" s="212"/>
      <c r="M256" s="213"/>
      <c r="N256" s="213"/>
      <c r="O256" s="213"/>
      <c r="P256" s="213"/>
      <c r="Q256" s="213"/>
    </row>
    <row r="257" spans="1:17" s="50" customFormat="1" ht="25" customHeight="1">
      <c r="A257" s="288" t="s">
        <v>284</v>
      </c>
      <c r="B257" s="296" t="s">
        <v>435</v>
      </c>
      <c r="C257" s="271">
        <v>2</v>
      </c>
      <c r="D257" s="297">
        <v>1</v>
      </c>
      <c r="E257" s="271">
        <v>1</v>
      </c>
      <c r="F257" s="180">
        <f t="shared" si="34"/>
        <v>42.9</v>
      </c>
      <c r="G257" s="177">
        <v>80</v>
      </c>
      <c r="H257" s="268">
        <f t="shared" si="35"/>
        <v>160</v>
      </c>
      <c r="I257" s="177">
        <f t="shared" si="36"/>
        <v>42.9</v>
      </c>
      <c r="J257" s="173"/>
      <c r="K257" s="211"/>
      <c r="L257" s="212"/>
      <c r="M257" s="213"/>
      <c r="N257" s="213"/>
      <c r="O257" s="213"/>
      <c r="P257" s="213"/>
      <c r="Q257" s="213"/>
    </row>
    <row r="258" spans="1:17" s="50" customFormat="1" ht="25" customHeight="1">
      <c r="A258" s="288" t="s">
        <v>287</v>
      </c>
      <c r="B258" s="270" t="s">
        <v>437</v>
      </c>
      <c r="C258" s="272">
        <v>2</v>
      </c>
      <c r="D258" s="272">
        <v>1</v>
      </c>
      <c r="E258" s="271">
        <v>1</v>
      </c>
      <c r="F258" s="180">
        <f t="shared" si="34"/>
        <v>42.9</v>
      </c>
      <c r="G258" s="268">
        <v>80</v>
      </c>
      <c r="H258" s="268">
        <f t="shared" si="35"/>
        <v>160</v>
      </c>
      <c r="I258" s="177">
        <f t="shared" si="36"/>
        <v>42.9</v>
      </c>
      <c r="J258" s="173"/>
      <c r="K258" s="211"/>
      <c r="L258" s="212"/>
      <c r="M258" s="213"/>
      <c r="N258" s="213"/>
      <c r="O258" s="213"/>
      <c r="P258" s="213"/>
      <c r="Q258" s="213"/>
    </row>
    <row r="259" spans="1:17" s="50" customFormat="1" ht="25" customHeight="1">
      <c r="A259" s="288" t="s">
        <v>288</v>
      </c>
      <c r="B259" s="285" t="s">
        <v>443</v>
      </c>
      <c r="C259" s="272">
        <v>4</v>
      </c>
      <c r="D259" s="272">
        <v>1</v>
      </c>
      <c r="E259" s="272">
        <v>1</v>
      </c>
      <c r="F259" s="180">
        <f t="shared" si="34"/>
        <v>66</v>
      </c>
      <c r="G259" s="268">
        <v>30</v>
      </c>
      <c r="H259" s="268">
        <f t="shared" si="35"/>
        <v>120</v>
      </c>
      <c r="I259" s="177">
        <f t="shared" si="36"/>
        <v>66</v>
      </c>
      <c r="J259" s="173"/>
      <c r="K259" s="211"/>
      <c r="L259" s="212"/>
      <c r="M259" s="213"/>
      <c r="N259" s="213"/>
      <c r="O259" s="213"/>
      <c r="P259" s="213"/>
      <c r="Q259" s="213"/>
    </row>
    <row r="260" spans="1:17" s="50" customFormat="1" ht="25" customHeight="1">
      <c r="A260" s="288" t="s">
        <v>289</v>
      </c>
      <c r="B260" s="285" t="s">
        <v>444</v>
      </c>
      <c r="C260" s="324">
        <v>4</v>
      </c>
      <c r="D260" s="301">
        <v>1</v>
      </c>
      <c r="E260" s="301">
        <v>1</v>
      </c>
      <c r="F260" s="180">
        <f t="shared" si="34"/>
        <v>66</v>
      </c>
      <c r="G260" s="251">
        <v>40</v>
      </c>
      <c r="H260" s="268">
        <f t="shared" si="35"/>
        <v>160</v>
      </c>
      <c r="I260" s="177">
        <f t="shared" si="36"/>
        <v>66</v>
      </c>
      <c r="J260" s="173"/>
      <c r="K260" s="211"/>
      <c r="L260" s="212"/>
      <c r="M260" s="213"/>
      <c r="N260" s="213"/>
      <c r="O260" s="213"/>
      <c r="P260" s="213"/>
      <c r="Q260" s="213"/>
    </row>
    <row r="261" spans="1:17" s="50" customFormat="1" ht="25" customHeight="1">
      <c r="A261" s="288" t="s">
        <v>290</v>
      </c>
      <c r="B261" s="296" t="s">
        <v>435</v>
      </c>
      <c r="C261" s="324">
        <v>2</v>
      </c>
      <c r="D261" s="301">
        <v>1</v>
      </c>
      <c r="E261" s="301">
        <v>1</v>
      </c>
      <c r="F261" s="180">
        <f t="shared" si="34"/>
        <v>42.9</v>
      </c>
      <c r="G261" s="251">
        <v>89</v>
      </c>
      <c r="H261" s="268">
        <f t="shared" si="35"/>
        <v>178</v>
      </c>
      <c r="I261" s="177">
        <f t="shared" si="36"/>
        <v>42.9</v>
      </c>
      <c r="J261" s="173"/>
      <c r="K261" s="211"/>
      <c r="L261" s="212"/>
      <c r="M261" s="213"/>
      <c r="N261" s="213"/>
      <c r="O261" s="213"/>
      <c r="P261" s="213"/>
      <c r="Q261" s="213"/>
    </row>
    <row r="262" spans="1:17" s="50" customFormat="1" ht="25" customHeight="1">
      <c r="A262" s="288" t="s">
        <v>389</v>
      </c>
      <c r="B262" s="285" t="s">
        <v>445</v>
      </c>
      <c r="C262" s="324">
        <v>3</v>
      </c>
      <c r="D262" s="301">
        <v>1</v>
      </c>
      <c r="E262" s="301">
        <v>1</v>
      </c>
      <c r="F262" s="180">
        <f t="shared" si="34"/>
        <v>49.5</v>
      </c>
      <c r="G262" s="251">
        <v>40</v>
      </c>
      <c r="H262" s="268">
        <f t="shared" si="35"/>
        <v>120</v>
      </c>
      <c r="I262" s="177">
        <f t="shared" si="36"/>
        <v>49.5</v>
      </c>
      <c r="J262" s="178"/>
      <c r="K262" s="211"/>
      <c r="L262" s="212"/>
      <c r="M262" s="213"/>
      <c r="N262" s="213"/>
      <c r="O262" s="213"/>
      <c r="P262" s="213"/>
      <c r="Q262" s="213"/>
    </row>
    <row r="263" spans="1:17" s="50" customFormat="1" ht="25" customHeight="1">
      <c r="A263" s="288" t="s">
        <v>390</v>
      </c>
      <c r="B263" s="270" t="s">
        <v>437</v>
      </c>
      <c r="C263" s="272">
        <v>2</v>
      </c>
      <c r="D263" s="272">
        <v>1</v>
      </c>
      <c r="E263" s="272">
        <v>1</v>
      </c>
      <c r="F263" s="180">
        <f t="shared" si="34"/>
        <v>42.9</v>
      </c>
      <c r="G263" s="268">
        <v>80</v>
      </c>
      <c r="H263" s="268">
        <f t="shared" si="35"/>
        <v>160</v>
      </c>
      <c r="I263" s="177">
        <f t="shared" si="36"/>
        <v>42.9</v>
      </c>
      <c r="J263" s="178"/>
      <c r="K263" s="211"/>
      <c r="L263" s="212"/>
      <c r="M263" s="213"/>
      <c r="N263" s="213"/>
      <c r="O263" s="213"/>
      <c r="P263" s="213"/>
      <c r="Q263" s="213"/>
    </row>
    <row r="264" spans="1:17" s="50" customFormat="1" ht="25" customHeight="1">
      <c r="A264" s="288" t="s">
        <v>391</v>
      </c>
      <c r="B264" s="325" t="s">
        <v>446</v>
      </c>
      <c r="C264" s="272">
        <v>2</v>
      </c>
      <c r="D264" s="272">
        <v>1</v>
      </c>
      <c r="E264" s="272">
        <v>1</v>
      </c>
      <c r="F264" s="180">
        <f t="shared" si="34"/>
        <v>33</v>
      </c>
      <c r="G264" s="268">
        <v>40</v>
      </c>
      <c r="H264" s="268">
        <f t="shared" si="35"/>
        <v>80</v>
      </c>
      <c r="I264" s="177">
        <f t="shared" si="36"/>
        <v>33</v>
      </c>
      <c r="J264" s="178"/>
      <c r="K264" s="211"/>
      <c r="L264" s="212"/>
      <c r="M264" s="213"/>
      <c r="N264" s="213"/>
      <c r="O264" s="213"/>
      <c r="P264" s="213"/>
      <c r="Q264" s="213"/>
    </row>
    <row r="265" spans="1:17" s="50" customFormat="1" ht="25" customHeight="1">
      <c r="A265" s="288" t="s">
        <v>392</v>
      </c>
      <c r="B265" s="285" t="s">
        <v>447</v>
      </c>
      <c r="C265" s="272">
        <v>3</v>
      </c>
      <c r="D265" s="272">
        <v>1</v>
      </c>
      <c r="E265" s="272">
        <v>1</v>
      </c>
      <c r="F265" s="180">
        <f t="shared" si="34"/>
        <v>49.5</v>
      </c>
      <c r="G265" s="268">
        <v>40</v>
      </c>
      <c r="H265" s="268">
        <f t="shared" si="35"/>
        <v>120</v>
      </c>
      <c r="I265" s="177">
        <f t="shared" si="36"/>
        <v>49.5</v>
      </c>
      <c r="J265" s="178"/>
      <c r="K265" s="211"/>
      <c r="L265" s="212"/>
      <c r="M265" s="213"/>
      <c r="N265" s="213"/>
      <c r="O265" s="213"/>
      <c r="P265" s="213"/>
      <c r="Q265" s="213"/>
    </row>
    <row r="266" spans="1:17" s="50" customFormat="1" ht="25" customHeight="1">
      <c r="A266" s="288" t="s">
        <v>393</v>
      </c>
      <c r="B266" s="285" t="s">
        <v>448</v>
      </c>
      <c r="C266" s="272">
        <v>2</v>
      </c>
      <c r="D266" s="272">
        <v>1</v>
      </c>
      <c r="E266" s="272">
        <v>1</v>
      </c>
      <c r="F266" s="180">
        <f t="shared" si="34"/>
        <v>42.9</v>
      </c>
      <c r="G266" s="268">
        <v>80</v>
      </c>
      <c r="H266" s="268">
        <f t="shared" si="35"/>
        <v>160</v>
      </c>
      <c r="I266" s="177">
        <f t="shared" si="36"/>
        <v>42.9</v>
      </c>
      <c r="J266" s="178"/>
      <c r="K266" s="211"/>
      <c r="L266" s="212"/>
      <c r="M266" s="213"/>
      <c r="N266" s="213"/>
      <c r="O266" s="213"/>
      <c r="P266" s="213"/>
      <c r="Q266" s="213"/>
    </row>
    <row r="267" spans="1:17" s="50" customFormat="1" ht="25" customHeight="1">
      <c r="A267" s="288" t="s">
        <v>394</v>
      </c>
      <c r="B267" s="285" t="s">
        <v>440</v>
      </c>
      <c r="C267" s="271">
        <v>2</v>
      </c>
      <c r="D267" s="302">
        <v>1</v>
      </c>
      <c r="E267" s="302">
        <v>1</v>
      </c>
      <c r="F267" s="180">
        <f t="shared" si="34"/>
        <v>33</v>
      </c>
      <c r="G267" s="181">
        <v>40</v>
      </c>
      <c r="H267" s="268">
        <f t="shared" si="35"/>
        <v>80</v>
      </c>
      <c r="I267" s="177">
        <f t="shared" si="36"/>
        <v>33</v>
      </c>
      <c r="J267" s="178"/>
      <c r="K267" s="211"/>
      <c r="L267" s="212"/>
      <c r="M267" s="213"/>
      <c r="N267" s="213"/>
      <c r="O267" s="213"/>
      <c r="P267" s="213"/>
      <c r="Q267" s="213"/>
    </row>
    <row r="268" spans="1:17" s="50" customFormat="1" ht="25" customHeight="1">
      <c r="A268" s="288" t="s">
        <v>395</v>
      </c>
      <c r="B268" s="285" t="s">
        <v>448</v>
      </c>
      <c r="C268" s="272">
        <v>2</v>
      </c>
      <c r="D268" s="272">
        <v>1.3</v>
      </c>
      <c r="E268" s="272">
        <v>1</v>
      </c>
      <c r="F268" s="180">
        <f t="shared" si="34"/>
        <v>33</v>
      </c>
      <c r="G268" s="268">
        <v>40</v>
      </c>
      <c r="H268" s="268">
        <f t="shared" si="35"/>
        <v>104</v>
      </c>
      <c r="I268" s="177">
        <f t="shared" si="36"/>
        <v>33</v>
      </c>
      <c r="J268" s="178"/>
      <c r="K268" s="211"/>
      <c r="L268" s="212"/>
      <c r="M268" s="213"/>
      <c r="N268" s="213"/>
      <c r="O268" s="213"/>
      <c r="P268" s="213"/>
      <c r="Q268" s="213"/>
    </row>
    <row r="269" spans="1:17" s="50" customFormat="1" ht="25" customHeight="1">
      <c r="A269" s="288" t="s">
        <v>396</v>
      </c>
      <c r="B269" s="285" t="s">
        <v>449</v>
      </c>
      <c r="C269" s="272">
        <v>4</v>
      </c>
      <c r="D269" s="272">
        <v>1</v>
      </c>
      <c r="E269" s="272">
        <v>1</v>
      </c>
      <c r="F269" s="180">
        <f t="shared" si="34"/>
        <v>66</v>
      </c>
      <c r="G269" s="268">
        <v>40</v>
      </c>
      <c r="H269" s="268">
        <f t="shared" si="35"/>
        <v>160</v>
      </c>
      <c r="I269" s="177">
        <f t="shared" si="36"/>
        <v>66</v>
      </c>
      <c r="J269" s="178"/>
      <c r="K269" s="211"/>
      <c r="L269" s="212"/>
      <c r="M269" s="213"/>
      <c r="N269" s="213"/>
      <c r="O269" s="213"/>
      <c r="P269" s="213"/>
      <c r="Q269" s="213"/>
    </row>
    <row r="270" spans="1:17" s="50" customFormat="1" ht="25" customHeight="1">
      <c r="A270" s="288" t="s">
        <v>397</v>
      </c>
      <c r="B270" s="285" t="s">
        <v>450</v>
      </c>
      <c r="C270" s="272">
        <v>4</v>
      </c>
      <c r="D270" s="272">
        <v>1</v>
      </c>
      <c r="E270" s="272">
        <v>1</v>
      </c>
      <c r="F270" s="180">
        <f t="shared" si="34"/>
        <v>66</v>
      </c>
      <c r="G270" s="268">
        <v>40</v>
      </c>
      <c r="H270" s="268">
        <f t="shared" si="35"/>
        <v>160</v>
      </c>
      <c r="I270" s="177">
        <f t="shared" si="36"/>
        <v>66</v>
      </c>
      <c r="J270" s="178"/>
      <c r="K270" s="211"/>
      <c r="L270" s="212"/>
      <c r="M270" s="213"/>
      <c r="N270" s="213"/>
      <c r="O270" s="213"/>
      <c r="P270" s="213"/>
      <c r="Q270" s="213"/>
    </row>
    <row r="271" spans="1:17" s="50" customFormat="1" ht="25" customHeight="1">
      <c r="A271" s="288" t="s">
        <v>398</v>
      </c>
      <c r="B271" s="285" t="s">
        <v>451</v>
      </c>
      <c r="C271" s="272">
        <v>3</v>
      </c>
      <c r="D271" s="272">
        <v>1</v>
      </c>
      <c r="E271" s="272">
        <v>1</v>
      </c>
      <c r="F271" s="180">
        <f t="shared" si="34"/>
        <v>49.5</v>
      </c>
      <c r="G271" s="268">
        <v>40</v>
      </c>
      <c r="H271" s="268">
        <f t="shared" si="35"/>
        <v>120</v>
      </c>
      <c r="I271" s="177">
        <f t="shared" si="36"/>
        <v>49.5</v>
      </c>
      <c r="J271" s="178"/>
      <c r="K271" s="211"/>
      <c r="L271" s="212"/>
      <c r="M271" s="213"/>
      <c r="N271" s="213"/>
      <c r="O271" s="213"/>
      <c r="P271" s="213"/>
      <c r="Q271" s="213"/>
    </row>
    <row r="272" spans="1:17" s="50" customFormat="1" ht="25" customHeight="1">
      <c r="A272" s="288" t="s">
        <v>399</v>
      </c>
      <c r="B272" s="285" t="s">
        <v>452</v>
      </c>
      <c r="C272" s="272">
        <v>1</v>
      </c>
      <c r="D272" s="272">
        <v>1.3</v>
      </c>
      <c r="E272" s="272">
        <v>1</v>
      </c>
      <c r="F272" s="180">
        <f t="shared" si="34"/>
        <v>16.5</v>
      </c>
      <c r="G272" s="268">
        <v>40</v>
      </c>
      <c r="H272" s="268">
        <f>C272*D272*E272*G272</f>
        <v>52</v>
      </c>
      <c r="I272" s="177">
        <f t="shared" si="36"/>
        <v>16.5</v>
      </c>
      <c r="J272" s="178"/>
      <c r="K272" s="211"/>
      <c r="L272" s="212"/>
      <c r="M272" s="213"/>
      <c r="N272" s="213"/>
      <c r="O272" s="213"/>
      <c r="P272" s="213"/>
      <c r="Q272" s="213"/>
    </row>
    <row r="273" spans="1:17" s="50" customFormat="1" ht="25" customHeight="1">
      <c r="A273" s="269"/>
      <c r="B273" s="326" t="s">
        <v>375</v>
      </c>
      <c r="C273" s="271">
        <f>SUM(C247:C272)</f>
        <v>68</v>
      </c>
      <c r="D273" s="271">
        <f t="shared" ref="D273:I273" si="37">SUM(D247:D272)</f>
        <v>26.6</v>
      </c>
      <c r="E273" s="271">
        <f t="shared" si="37"/>
        <v>29</v>
      </c>
      <c r="F273" s="196">
        <f t="shared" si="37"/>
        <v>1344.75</v>
      </c>
      <c r="G273" s="196">
        <f t="shared" si="37"/>
        <v>1359</v>
      </c>
      <c r="H273" s="196">
        <f t="shared" si="37"/>
        <v>3844</v>
      </c>
      <c r="I273" s="196">
        <f t="shared" si="37"/>
        <v>1344.75</v>
      </c>
      <c r="J273" s="178"/>
      <c r="K273" s="211"/>
      <c r="L273" s="212"/>
      <c r="M273" s="213"/>
      <c r="N273" s="213"/>
      <c r="O273" s="213"/>
      <c r="P273" s="213"/>
      <c r="Q273" s="213"/>
    </row>
    <row r="274" spans="1:17" s="50" customFormat="1" ht="25" customHeight="1">
      <c r="A274" s="311" t="s">
        <v>146</v>
      </c>
      <c r="B274" s="312" t="s">
        <v>149</v>
      </c>
      <c r="C274" s="272"/>
      <c r="D274" s="272"/>
      <c r="E274" s="272"/>
      <c r="F274" s="268"/>
      <c r="G274" s="268"/>
      <c r="H274" s="268"/>
      <c r="I274" s="178"/>
      <c r="J274" s="178"/>
      <c r="K274" s="211"/>
      <c r="L274" s="212"/>
      <c r="M274" s="213"/>
      <c r="N274" s="213"/>
      <c r="O274" s="213"/>
      <c r="P274" s="213"/>
      <c r="Q274" s="213"/>
    </row>
    <row r="275" spans="1:17" s="50" customFormat="1" ht="25" customHeight="1">
      <c r="A275" s="313" t="s">
        <v>230</v>
      </c>
      <c r="B275" s="269" t="s">
        <v>152</v>
      </c>
      <c r="C275" s="272"/>
      <c r="D275" s="272"/>
      <c r="E275" s="272"/>
      <c r="F275" s="268"/>
      <c r="G275" s="268"/>
      <c r="H275" s="268"/>
      <c r="I275" s="178"/>
      <c r="J275" s="178"/>
      <c r="K275" s="211"/>
      <c r="L275" s="212"/>
      <c r="M275" s="213"/>
      <c r="N275" s="213"/>
      <c r="O275" s="213"/>
      <c r="P275" s="213"/>
      <c r="Q275" s="213"/>
    </row>
    <row r="276" spans="1:17" s="50" customFormat="1" ht="25" customHeight="1">
      <c r="A276" s="313" t="s">
        <v>231</v>
      </c>
      <c r="B276" s="269" t="s">
        <v>151</v>
      </c>
      <c r="C276" s="272"/>
      <c r="D276" s="272"/>
      <c r="E276" s="272"/>
      <c r="F276" s="268"/>
      <c r="G276" s="268"/>
      <c r="H276" s="268"/>
      <c r="I276" s="178"/>
      <c r="J276" s="178"/>
      <c r="K276" s="211"/>
      <c r="L276" s="212"/>
      <c r="M276" s="213"/>
      <c r="N276" s="213"/>
      <c r="O276" s="213"/>
      <c r="P276" s="213"/>
      <c r="Q276" s="213"/>
    </row>
    <row r="277" spans="1:17" s="50" customFormat="1" ht="25" customHeight="1">
      <c r="A277" s="327" t="s">
        <v>232</v>
      </c>
      <c r="B277" s="328" t="s">
        <v>153</v>
      </c>
      <c r="C277" s="329">
        <v>5</v>
      </c>
      <c r="D277" s="329" t="s">
        <v>649</v>
      </c>
      <c r="E277" s="329">
        <v>21</v>
      </c>
      <c r="F277" s="268"/>
      <c r="G277" s="268"/>
      <c r="H277" s="268"/>
      <c r="I277" s="178"/>
      <c r="J277" s="178"/>
      <c r="K277" s="211"/>
      <c r="L277" s="212"/>
      <c r="M277" s="213"/>
      <c r="N277" s="213"/>
      <c r="O277" s="213"/>
      <c r="P277" s="213"/>
      <c r="Q277" s="213"/>
    </row>
    <row r="278" spans="1:17" s="50" customFormat="1" ht="25" customHeight="1">
      <c r="A278" s="327" t="s">
        <v>233</v>
      </c>
      <c r="B278" s="328" t="s">
        <v>154</v>
      </c>
      <c r="C278" s="329">
        <v>5</v>
      </c>
      <c r="D278" s="329" t="s">
        <v>649</v>
      </c>
      <c r="E278" s="329">
        <v>21</v>
      </c>
      <c r="F278" s="268"/>
      <c r="G278" s="268"/>
      <c r="H278" s="268"/>
      <c r="I278" s="178"/>
      <c r="J278" s="178"/>
      <c r="K278" s="211"/>
      <c r="L278" s="212"/>
      <c r="M278" s="213"/>
      <c r="N278" s="213"/>
      <c r="O278" s="213"/>
      <c r="P278" s="213"/>
      <c r="Q278" s="213"/>
    </row>
    <row r="279" spans="1:17" s="50" customFormat="1" ht="25" customHeight="1">
      <c r="A279" s="313" t="s">
        <v>234</v>
      </c>
      <c r="B279" s="269" t="s">
        <v>155</v>
      </c>
      <c r="C279" s="272"/>
      <c r="D279" s="272"/>
      <c r="E279" s="272"/>
      <c r="F279" s="268"/>
      <c r="G279" s="268"/>
      <c r="H279" s="268"/>
      <c r="I279" s="178"/>
      <c r="J279" s="178"/>
      <c r="K279" s="211"/>
      <c r="L279" s="212"/>
      <c r="M279" s="213"/>
      <c r="N279" s="213"/>
      <c r="O279" s="213"/>
      <c r="P279" s="213"/>
      <c r="Q279" s="213"/>
    </row>
    <row r="280" spans="1:17" s="50" customFormat="1" ht="25" customHeight="1">
      <c r="A280" s="316">
        <v>2</v>
      </c>
      <c r="B280" s="316" t="s">
        <v>162</v>
      </c>
      <c r="C280" s="272"/>
      <c r="D280" s="272"/>
      <c r="E280" s="272"/>
      <c r="F280" s="268"/>
      <c r="G280" s="268"/>
      <c r="H280" s="268"/>
      <c r="I280" s="178"/>
      <c r="J280" s="178"/>
      <c r="K280" s="211"/>
      <c r="L280" s="212"/>
      <c r="M280" s="213"/>
      <c r="N280" s="213"/>
      <c r="O280" s="213"/>
      <c r="P280" s="213"/>
      <c r="Q280" s="213"/>
    </row>
    <row r="281" spans="1:17" s="50" customFormat="1" ht="25" customHeight="1">
      <c r="A281" s="317" t="s">
        <v>145</v>
      </c>
      <c r="B281" s="318" t="s">
        <v>163</v>
      </c>
      <c r="C281" s="272"/>
      <c r="D281" s="272"/>
      <c r="E281" s="272"/>
      <c r="F281" s="268"/>
      <c r="G281" s="268"/>
      <c r="H281" s="268"/>
      <c r="I281" s="178"/>
      <c r="J281" s="178"/>
      <c r="K281" s="211"/>
      <c r="L281" s="212"/>
      <c r="M281" s="213"/>
      <c r="N281" s="213"/>
      <c r="O281" s="213"/>
      <c r="P281" s="213"/>
      <c r="Q281" s="213"/>
    </row>
    <row r="282" spans="1:17" s="50" customFormat="1" ht="25" customHeight="1">
      <c r="A282" s="269" t="s">
        <v>224</v>
      </c>
      <c r="B282" s="270" t="s">
        <v>453</v>
      </c>
      <c r="C282" s="272">
        <v>3</v>
      </c>
      <c r="D282" s="272">
        <v>1</v>
      </c>
      <c r="E282" s="272">
        <v>6</v>
      </c>
      <c r="F282" s="180">
        <f t="shared" ref="F282:F294" si="38">I282+J282+K282</f>
        <v>445.5</v>
      </c>
      <c r="G282" s="268">
        <v>30</v>
      </c>
      <c r="H282" s="268">
        <f t="shared" ref="H282:H294" si="39">C282*D282*E282*G282</f>
        <v>540</v>
      </c>
      <c r="I282" s="177">
        <f>IF(G282&lt;70, C282*E282*16.5*1.5, C282*E282*16.5*1.5)</f>
        <v>445.5</v>
      </c>
      <c r="J282" s="178"/>
      <c r="K282" s="211"/>
      <c r="L282" s="212"/>
      <c r="M282" s="213"/>
      <c r="N282" s="213"/>
      <c r="O282" s="213"/>
      <c r="P282" s="213"/>
      <c r="Q282" s="213"/>
    </row>
    <row r="283" spans="1:17" s="50" customFormat="1" ht="25" customHeight="1">
      <c r="A283" s="269" t="s">
        <v>225</v>
      </c>
      <c r="B283" s="270" t="s">
        <v>454</v>
      </c>
      <c r="C283" s="272">
        <v>3</v>
      </c>
      <c r="D283" s="272">
        <v>1</v>
      </c>
      <c r="E283" s="272">
        <v>6</v>
      </c>
      <c r="F283" s="180">
        <f t="shared" si="38"/>
        <v>445.5</v>
      </c>
      <c r="G283" s="268">
        <v>30</v>
      </c>
      <c r="H283" s="268">
        <f t="shared" si="39"/>
        <v>540</v>
      </c>
      <c r="I283" s="177">
        <f t="shared" ref="I283:I289" si="40">IF(G283&lt;70, C283*E283*16.5*1.5, C283*E283*16.5*1.5)</f>
        <v>445.5</v>
      </c>
      <c r="J283" s="178"/>
      <c r="K283" s="211"/>
      <c r="L283" s="212"/>
      <c r="M283" s="213"/>
      <c r="N283" s="213"/>
      <c r="O283" s="213"/>
      <c r="P283" s="213"/>
      <c r="Q283" s="213"/>
    </row>
    <row r="284" spans="1:17" s="50" customFormat="1" ht="25" customHeight="1">
      <c r="A284" s="269" t="s">
        <v>226</v>
      </c>
      <c r="B284" s="270" t="s">
        <v>455</v>
      </c>
      <c r="C284" s="272">
        <v>3</v>
      </c>
      <c r="D284" s="272">
        <v>1</v>
      </c>
      <c r="E284" s="272">
        <v>1</v>
      </c>
      <c r="F284" s="180">
        <f t="shared" si="38"/>
        <v>74.25</v>
      </c>
      <c r="G284" s="268">
        <v>30</v>
      </c>
      <c r="H284" s="268">
        <f t="shared" si="39"/>
        <v>90</v>
      </c>
      <c r="I284" s="177">
        <f t="shared" si="40"/>
        <v>74.25</v>
      </c>
      <c r="J284" s="178"/>
      <c r="K284" s="211"/>
      <c r="L284" s="212"/>
      <c r="M284" s="213"/>
      <c r="N284" s="213"/>
      <c r="O284" s="213"/>
      <c r="P284" s="213"/>
      <c r="Q284" s="213"/>
    </row>
    <row r="285" spans="1:17" s="50" customFormat="1" ht="25" customHeight="1">
      <c r="A285" s="269" t="s">
        <v>227</v>
      </c>
      <c r="B285" s="270" t="s">
        <v>456</v>
      </c>
      <c r="C285" s="272">
        <v>3</v>
      </c>
      <c r="D285" s="272">
        <v>1</v>
      </c>
      <c r="E285" s="272">
        <v>1</v>
      </c>
      <c r="F285" s="180">
        <f t="shared" si="38"/>
        <v>74.25</v>
      </c>
      <c r="G285" s="268">
        <v>30</v>
      </c>
      <c r="H285" s="268">
        <f t="shared" si="39"/>
        <v>90</v>
      </c>
      <c r="I285" s="177">
        <f t="shared" si="40"/>
        <v>74.25</v>
      </c>
      <c r="J285" s="178"/>
      <c r="K285" s="211"/>
      <c r="L285" s="212"/>
      <c r="M285" s="213"/>
      <c r="N285" s="213"/>
      <c r="O285" s="213"/>
      <c r="P285" s="213"/>
      <c r="Q285" s="213"/>
    </row>
    <row r="286" spans="1:17" s="50" customFormat="1" ht="25" customHeight="1">
      <c r="A286" s="269" t="s">
        <v>228</v>
      </c>
      <c r="B286" s="273" t="s">
        <v>457</v>
      </c>
      <c r="C286" s="272">
        <v>3</v>
      </c>
      <c r="D286" s="272">
        <v>1</v>
      </c>
      <c r="E286" s="272">
        <v>6</v>
      </c>
      <c r="F286" s="180">
        <f t="shared" si="38"/>
        <v>445.5</v>
      </c>
      <c r="G286" s="268">
        <v>30</v>
      </c>
      <c r="H286" s="268">
        <f t="shared" si="39"/>
        <v>540</v>
      </c>
      <c r="I286" s="177">
        <f t="shared" si="40"/>
        <v>445.5</v>
      </c>
      <c r="J286" s="178"/>
      <c r="K286" s="211"/>
      <c r="L286" s="212"/>
      <c r="M286" s="213"/>
      <c r="N286" s="213"/>
      <c r="O286" s="213"/>
      <c r="P286" s="213"/>
      <c r="Q286" s="213"/>
    </row>
    <row r="287" spans="1:17" s="50" customFormat="1" ht="25" customHeight="1">
      <c r="A287" s="269" t="s">
        <v>229</v>
      </c>
      <c r="B287" s="273" t="s">
        <v>458</v>
      </c>
      <c r="C287" s="272">
        <v>3</v>
      </c>
      <c r="D287" s="272">
        <v>1</v>
      </c>
      <c r="E287" s="272">
        <v>6</v>
      </c>
      <c r="F287" s="180">
        <f t="shared" si="38"/>
        <v>445.5</v>
      </c>
      <c r="G287" s="268">
        <v>30</v>
      </c>
      <c r="H287" s="268">
        <f t="shared" si="39"/>
        <v>540</v>
      </c>
      <c r="I287" s="177">
        <f t="shared" si="40"/>
        <v>445.5</v>
      </c>
      <c r="J287" s="178"/>
      <c r="K287" s="183"/>
      <c r="L287" s="171"/>
      <c r="M287" s="231"/>
      <c r="N287" s="231"/>
      <c r="O287" s="231"/>
      <c r="P287" s="231"/>
      <c r="Q287" s="231"/>
    </row>
    <row r="288" spans="1:17" s="50" customFormat="1" ht="25" customHeight="1">
      <c r="A288" s="269" t="s">
        <v>280</v>
      </c>
      <c r="B288" s="273" t="s">
        <v>459</v>
      </c>
      <c r="C288" s="272">
        <v>3</v>
      </c>
      <c r="D288" s="272">
        <v>1</v>
      </c>
      <c r="E288" s="272">
        <v>1</v>
      </c>
      <c r="F288" s="180">
        <f t="shared" si="38"/>
        <v>74.25</v>
      </c>
      <c r="G288" s="268">
        <v>30</v>
      </c>
      <c r="H288" s="268">
        <f t="shared" si="39"/>
        <v>90</v>
      </c>
      <c r="I288" s="177">
        <f t="shared" si="40"/>
        <v>74.25</v>
      </c>
      <c r="J288" s="178"/>
      <c r="K288" s="168"/>
      <c r="L288" s="168"/>
      <c r="M288" s="231"/>
      <c r="N288" s="231"/>
      <c r="O288" s="231"/>
      <c r="P288" s="231"/>
      <c r="Q288" s="231"/>
    </row>
    <row r="289" spans="1:17" s="50" customFormat="1" ht="25" customHeight="1">
      <c r="A289" s="269" t="s">
        <v>281</v>
      </c>
      <c r="B289" s="273" t="s">
        <v>460</v>
      </c>
      <c r="C289" s="272">
        <v>3</v>
      </c>
      <c r="D289" s="272">
        <v>1</v>
      </c>
      <c r="E289" s="272">
        <v>1</v>
      </c>
      <c r="F289" s="180">
        <f t="shared" si="38"/>
        <v>74.25</v>
      </c>
      <c r="G289" s="268">
        <v>30</v>
      </c>
      <c r="H289" s="268">
        <f t="shared" si="39"/>
        <v>90</v>
      </c>
      <c r="I289" s="177">
        <f t="shared" si="40"/>
        <v>74.25</v>
      </c>
      <c r="J289" s="178"/>
      <c r="K289" s="183"/>
      <c r="L289" s="168"/>
      <c r="M289" s="231"/>
      <c r="N289" s="231"/>
      <c r="O289" s="231"/>
      <c r="P289" s="231"/>
      <c r="Q289" s="231"/>
    </row>
    <row r="290" spans="1:17" s="50" customFormat="1" ht="25" customHeight="1">
      <c r="A290" s="269" t="s">
        <v>282</v>
      </c>
      <c r="B290" s="273" t="s">
        <v>461</v>
      </c>
      <c r="C290" s="272">
        <v>3</v>
      </c>
      <c r="D290" s="272">
        <v>1</v>
      </c>
      <c r="E290" s="272">
        <v>6</v>
      </c>
      <c r="F290" s="180">
        <f t="shared" si="38"/>
        <v>445.5</v>
      </c>
      <c r="G290" s="268">
        <v>30</v>
      </c>
      <c r="H290" s="268">
        <f t="shared" si="39"/>
        <v>540</v>
      </c>
      <c r="I290" s="229"/>
      <c r="J290" s="177">
        <f>IF(G290&lt;70, C290*E290*16.5*1.5, C290*E290*16.5*1.5)</f>
        <v>445.5</v>
      </c>
      <c r="K290" s="168"/>
      <c r="L290" s="168"/>
      <c r="M290" s="231"/>
      <c r="N290" s="231"/>
      <c r="O290" s="231"/>
      <c r="P290" s="231"/>
      <c r="Q290" s="231"/>
    </row>
    <row r="291" spans="1:17" s="50" customFormat="1" ht="25" customHeight="1">
      <c r="A291" s="269" t="s">
        <v>283</v>
      </c>
      <c r="B291" s="273" t="s">
        <v>462</v>
      </c>
      <c r="C291" s="272">
        <v>3</v>
      </c>
      <c r="D291" s="272">
        <v>1</v>
      </c>
      <c r="E291" s="272">
        <v>6</v>
      </c>
      <c r="F291" s="180">
        <f t="shared" si="38"/>
        <v>445.5</v>
      </c>
      <c r="G291" s="268">
        <v>30</v>
      </c>
      <c r="H291" s="268">
        <f t="shared" si="39"/>
        <v>540</v>
      </c>
      <c r="I291" s="229"/>
      <c r="J291" s="177">
        <f>IF(G291&lt;70, C291*E291*16.5*1.5, C291*E291*16.5*1.5)</f>
        <v>445.5</v>
      </c>
      <c r="K291" s="168"/>
      <c r="L291" s="168"/>
      <c r="M291" s="231"/>
      <c r="N291" s="231"/>
      <c r="O291" s="231"/>
      <c r="P291" s="231"/>
      <c r="Q291" s="231"/>
    </row>
    <row r="292" spans="1:17" s="253" customFormat="1" ht="25" customHeight="1">
      <c r="A292" s="269" t="s">
        <v>284</v>
      </c>
      <c r="B292" s="273" t="s">
        <v>463</v>
      </c>
      <c r="C292" s="272">
        <v>3</v>
      </c>
      <c r="D292" s="272">
        <v>1</v>
      </c>
      <c r="E292" s="272">
        <v>1</v>
      </c>
      <c r="F292" s="180">
        <f t="shared" si="38"/>
        <v>74.25</v>
      </c>
      <c r="G292" s="268">
        <v>30</v>
      </c>
      <c r="H292" s="268">
        <f t="shared" si="39"/>
        <v>90</v>
      </c>
      <c r="I292" s="251"/>
      <c r="J292" s="177">
        <f>IF(G292&lt;70, C292*E292*16.5*1.5, C292*E292*16.5*1.5)</f>
        <v>74.25</v>
      </c>
      <c r="K292" s="164"/>
      <c r="L292" s="185"/>
      <c r="M292" s="231"/>
      <c r="N292" s="231"/>
      <c r="O292" s="231"/>
      <c r="P292" s="231"/>
      <c r="Q292" s="231"/>
    </row>
    <row r="293" spans="1:17" s="253" customFormat="1" ht="25" customHeight="1">
      <c r="A293" s="269" t="s">
        <v>287</v>
      </c>
      <c r="B293" s="273" t="s">
        <v>464</v>
      </c>
      <c r="C293" s="272">
        <v>3</v>
      </c>
      <c r="D293" s="272">
        <v>1</v>
      </c>
      <c r="E293" s="272">
        <v>1</v>
      </c>
      <c r="F293" s="180">
        <f t="shared" si="38"/>
        <v>74.25</v>
      </c>
      <c r="G293" s="268">
        <v>30</v>
      </c>
      <c r="H293" s="268">
        <f t="shared" si="39"/>
        <v>90</v>
      </c>
      <c r="I293" s="251"/>
      <c r="J293" s="177">
        <f>IF(G293&lt;70, C293*E293*16.5*1.5, C293*E293*16.5*1.5)</f>
        <v>74.25</v>
      </c>
      <c r="K293" s="164"/>
      <c r="L293" s="185"/>
      <c r="M293" s="231"/>
      <c r="N293" s="231"/>
      <c r="O293" s="231"/>
      <c r="P293" s="231"/>
      <c r="Q293" s="231"/>
    </row>
    <row r="294" spans="1:17" s="253" customFormat="1" ht="25" customHeight="1">
      <c r="A294" s="269" t="s">
        <v>288</v>
      </c>
      <c r="B294" s="273" t="s">
        <v>458</v>
      </c>
      <c r="C294" s="272">
        <v>3</v>
      </c>
      <c r="D294" s="272">
        <v>1</v>
      </c>
      <c r="E294" s="272">
        <v>1</v>
      </c>
      <c r="F294" s="180">
        <f t="shared" si="38"/>
        <v>74.25</v>
      </c>
      <c r="G294" s="268">
        <v>30</v>
      </c>
      <c r="H294" s="268">
        <f t="shared" si="39"/>
        <v>90</v>
      </c>
      <c r="I294" s="178"/>
      <c r="J294" s="177">
        <f>IF(G294&lt;70, C294*E294*16.5*1.5, C294*E294*16.5*1.5)</f>
        <v>74.25</v>
      </c>
      <c r="K294" s="232"/>
      <c r="L294" s="232"/>
      <c r="M294" s="233"/>
      <c r="N294" s="233"/>
      <c r="O294" s="233"/>
      <c r="P294" s="233"/>
      <c r="Q294" s="233"/>
    </row>
    <row r="295" spans="1:17" s="253" customFormat="1" ht="25" customHeight="1">
      <c r="A295" s="330"/>
      <c r="B295" s="314" t="s">
        <v>375</v>
      </c>
      <c r="C295" s="315">
        <f>SUM(C282:C294)</f>
        <v>39</v>
      </c>
      <c r="D295" s="315">
        <f t="shared" ref="D295:J295" si="41">SUM(D282:D294)</f>
        <v>13</v>
      </c>
      <c r="E295" s="315">
        <f t="shared" si="41"/>
        <v>43</v>
      </c>
      <c r="F295" s="172">
        <f t="shared" si="41"/>
        <v>3192.75</v>
      </c>
      <c r="G295" s="172">
        <f t="shared" si="41"/>
        <v>390</v>
      </c>
      <c r="H295" s="172">
        <f t="shared" si="41"/>
        <v>3870</v>
      </c>
      <c r="I295" s="172">
        <f t="shared" si="41"/>
        <v>2079</v>
      </c>
      <c r="J295" s="172">
        <f t="shared" si="41"/>
        <v>1113.75</v>
      </c>
      <c r="K295" s="232"/>
      <c r="L295" s="232"/>
      <c r="M295" s="233"/>
      <c r="N295" s="233"/>
      <c r="O295" s="233"/>
      <c r="P295" s="233"/>
      <c r="Q295" s="233"/>
    </row>
    <row r="296" spans="1:17" s="253" customFormat="1" ht="25" customHeight="1">
      <c r="A296" s="311" t="s">
        <v>146</v>
      </c>
      <c r="B296" s="312" t="s">
        <v>500</v>
      </c>
      <c r="C296" s="272"/>
      <c r="D296" s="272"/>
      <c r="E296" s="272"/>
      <c r="F296" s="268"/>
      <c r="G296" s="268"/>
      <c r="H296" s="268"/>
      <c r="I296" s="178"/>
      <c r="J296" s="178"/>
      <c r="K296" s="232"/>
      <c r="L296" s="232"/>
      <c r="M296" s="233"/>
      <c r="N296" s="233"/>
      <c r="O296" s="233"/>
      <c r="P296" s="233"/>
      <c r="Q296" s="233"/>
    </row>
    <row r="297" spans="1:17" s="253" customFormat="1" ht="25" customHeight="1">
      <c r="A297" s="313" t="s">
        <v>505</v>
      </c>
      <c r="B297" s="269" t="s">
        <v>466</v>
      </c>
      <c r="C297" s="272">
        <v>15</v>
      </c>
      <c r="D297" s="272">
        <v>1</v>
      </c>
      <c r="E297" s="272">
        <v>1</v>
      </c>
      <c r="F297" s="180">
        <f>I297+J297+K297</f>
        <v>175</v>
      </c>
      <c r="G297" s="268">
        <v>5</v>
      </c>
      <c r="H297" s="268">
        <f>C297*G297</f>
        <v>75</v>
      </c>
      <c r="I297" s="177">
        <f>G297*35</f>
        <v>175</v>
      </c>
      <c r="J297" s="178"/>
      <c r="K297" s="232"/>
      <c r="L297" s="234"/>
      <c r="M297" s="234"/>
      <c r="N297" s="234"/>
      <c r="O297" s="234"/>
      <c r="P297" s="234"/>
      <c r="Q297" s="234"/>
    </row>
    <row r="298" spans="1:17" s="253" customFormat="1" ht="25" customHeight="1">
      <c r="A298" s="313" t="s">
        <v>506</v>
      </c>
      <c r="B298" s="269" t="s">
        <v>650</v>
      </c>
      <c r="C298" s="272">
        <v>15</v>
      </c>
      <c r="D298" s="272">
        <v>1</v>
      </c>
      <c r="E298" s="272">
        <v>1</v>
      </c>
      <c r="F298" s="180">
        <f t="shared" ref="F298:F307" si="42">I298+J298+K298</f>
        <v>175</v>
      </c>
      <c r="G298" s="268">
        <v>5</v>
      </c>
      <c r="H298" s="268">
        <f>C298*G298</f>
        <v>75</v>
      </c>
      <c r="I298" s="177"/>
      <c r="J298" s="177">
        <f>G298*35</f>
        <v>175</v>
      </c>
      <c r="K298" s="232"/>
      <c r="L298" s="235"/>
      <c r="M298" s="235"/>
      <c r="N298" s="235"/>
      <c r="O298" s="235"/>
      <c r="P298" s="235"/>
      <c r="Q298" s="235"/>
    </row>
    <row r="299" spans="1:17" s="253" customFormat="1" ht="25" customHeight="1">
      <c r="A299" s="313" t="s">
        <v>507</v>
      </c>
      <c r="B299" s="269" t="s">
        <v>467</v>
      </c>
      <c r="C299" s="272">
        <v>15</v>
      </c>
      <c r="D299" s="272">
        <v>1</v>
      </c>
      <c r="E299" s="272">
        <v>1</v>
      </c>
      <c r="F299" s="180">
        <f t="shared" si="42"/>
        <v>175</v>
      </c>
      <c r="G299" s="268">
        <v>5</v>
      </c>
      <c r="H299" s="268">
        <f>C299*G299*E299*D299</f>
        <v>75</v>
      </c>
      <c r="I299" s="177">
        <f>G299*35</f>
        <v>175</v>
      </c>
      <c r="J299" s="177"/>
      <c r="K299" s="232"/>
      <c r="L299" s="236"/>
      <c r="M299" s="236"/>
      <c r="N299" s="236"/>
      <c r="O299" s="236"/>
      <c r="P299" s="236"/>
      <c r="Q299" s="236"/>
    </row>
    <row r="300" spans="1:17" s="253" customFormat="1" ht="25" customHeight="1">
      <c r="A300" s="313" t="s">
        <v>508</v>
      </c>
      <c r="B300" s="269" t="s">
        <v>468</v>
      </c>
      <c r="C300" s="272">
        <v>15</v>
      </c>
      <c r="D300" s="272">
        <v>1</v>
      </c>
      <c r="E300" s="272">
        <v>1</v>
      </c>
      <c r="F300" s="180">
        <f t="shared" si="42"/>
        <v>175</v>
      </c>
      <c r="G300" s="268">
        <v>5</v>
      </c>
      <c r="H300" s="268">
        <f t="shared" ref="H300:H307" si="43">C300*G300*E300*D300</f>
        <v>75</v>
      </c>
      <c r="I300" s="178"/>
      <c r="J300" s="177">
        <f>G300*35</f>
        <v>175</v>
      </c>
      <c r="K300" s="232"/>
      <c r="L300" s="232"/>
      <c r="M300" s="1867"/>
      <c r="N300" s="1867"/>
      <c r="O300" s="1867"/>
      <c r="P300" s="1867"/>
      <c r="Q300" s="1867"/>
    </row>
    <row r="301" spans="1:17" s="253" customFormat="1" ht="25" customHeight="1">
      <c r="A301" s="313" t="s">
        <v>509</v>
      </c>
      <c r="B301" s="269" t="s">
        <v>469</v>
      </c>
      <c r="C301" s="272">
        <v>15</v>
      </c>
      <c r="D301" s="272">
        <v>1</v>
      </c>
      <c r="E301" s="272">
        <v>1</v>
      </c>
      <c r="F301" s="180">
        <f t="shared" si="42"/>
        <v>175</v>
      </c>
      <c r="G301" s="268">
        <v>5</v>
      </c>
      <c r="H301" s="268">
        <f t="shared" si="43"/>
        <v>75</v>
      </c>
      <c r="I301" s="178"/>
      <c r="J301" s="177">
        <f>G301*35</f>
        <v>175</v>
      </c>
      <c r="K301" s="232"/>
      <c r="L301" s="232"/>
      <c r="M301" s="233"/>
      <c r="N301" s="233"/>
      <c r="O301" s="233"/>
      <c r="P301" s="233"/>
      <c r="Q301" s="233"/>
    </row>
    <row r="302" spans="1:17" ht="25" customHeight="1">
      <c r="A302" s="313" t="s">
        <v>510</v>
      </c>
      <c r="B302" s="269" t="s">
        <v>501</v>
      </c>
      <c r="C302" s="272">
        <v>15</v>
      </c>
      <c r="D302" s="272">
        <v>1</v>
      </c>
      <c r="E302" s="272">
        <v>1</v>
      </c>
      <c r="F302" s="180">
        <f t="shared" si="42"/>
        <v>175</v>
      </c>
      <c r="G302" s="268">
        <v>5</v>
      </c>
      <c r="H302" s="268">
        <f t="shared" si="43"/>
        <v>75</v>
      </c>
      <c r="I302" s="177">
        <f>G302*35</f>
        <v>175</v>
      </c>
      <c r="J302" s="254"/>
      <c r="K302" s="232"/>
      <c r="L302" s="232"/>
      <c r="M302" s="233"/>
      <c r="N302" s="233"/>
      <c r="O302" s="233"/>
      <c r="P302" s="233"/>
      <c r="Q302" s="233"/>
    </row>
    <row r="303" spans="1:17" ht="25" customHeight="1">
      <c r="A303" s="313" t="s">
        <v>511</v>
      </c>
      <c r="B303" s="269" t="s">
        <v>502</v>
      </c>
      <c r="C303" s="272">
        <v>15</v>
      </c>
      <c r="D303" s="272">
        <v>1</v>
      </c>
      <c r="E303" s="272">
        <v>1</v>
      </c>
      <c r="F303" s="180">
        <f t="shared" si="42"/>
        <v>175</v>
      </c>
      <c r="G303" s="268">
        <v>5</v>
      </c>
      <c r="H303" s="268">
        <f t="shared" si="43"/>
        <v>75</v>
      </c>
      <c r="I303" s="177">
        <f>G303*35</f>
        <v>175</v>
      </c>
      <c r="J303" s="254"/>
      <c r="K303" s="232"/>
      <c r="L303" s="232"/>
      <c r="M303" s="237"/>
      <c r="N303" s="237"/>
      <c r="O303" s="237"/>
      <c r="P303" s="237"/>
      <c r="Q303" s="237"/>
    </row>
    <row r="304" spans="1:17" ht="25" customHeight="1">
      <c r="A304" s="313" t="s">
        <v>512</v>
      </c>
      <c r="B304" s="275" t="s">
        <v>503</v>
      </c>
      <c r="C304" s="272">
        <v>15</v>
      </c>
      <c r="D304" s="272">
        <v>1</v>
      </c>
      <c r="E304" s="272">
        <v>1</v>
      </c>
      <c r="F304" s="180">
        <f t="shared" si="42"/>
        <v>175</v>
      </c>
      <c r="G304" s="268">
        <v>5</v>
      </c>
      <c r="H304" s="268">
        <f t="shared" si="43"/>
        <v>75</v>
      </c>
      <c r="I304" s="177">
        <f>G304*35</f>
        <v>175</v>
      </c>
      <c r="J304" s="255"/>
      <c r="K304" s="232"/>
      <c r="L304" s="232"/>
      <c r="M304" s="237"/>
      <c r="N304" s="237"/>
      <c r="O304" s="237"/>
      <c r="P304" s="237"/>
      <c r="Q304" s="237"/>
    </row>
    <row r="305" spans="1:17" ht="25" customHeight="1">
      <c r="A305" s="313" t="s">
        <v>513</v>
      </c>
      <c r="B305" s="275" t="s">
        <v>504</v>
      </c>
      <c r="C305" s="272">
        <v>15</v>
      </c>
      <c r="D305" s="272">
        <v>1</v>
      </c>
      <c r="E305" s="272">
        <v>1</v>
      </c>
      <c r="F305" s="180">
        <f t="shared" si="42"/>
        <v>175</v>
      </c>
      <c r="G305" s="268">
        <v>5</v>
      </c>
      <c r="H305" s="268">
        <f t="shared" si="43"/>
        <v>75</v>
      </c>
      <c r="I305" s="177">
        <f>G305*35</f>
        <v>175</v>
      </c>
      <c r="J305" s="177"/>
      <c r="K305" s="232"/>
      <c r="L305" s="232"/>
      <c r="M305" s="237"/>
      <c r="N305" s="237"/>
      <c r="O305" s="237"/>
      <c r="P305" s="237"/>
      <c r="Q305" s="237"/>
    </row>
    <row r="306" spans="1:17" ht="25" customHeight="1">
      <c r="A306" s="313" t="s">
        <v>514</v>
      </c>
      <c r="B306" s="275" t="s">
        <v>551</v>
      </c>
      <c r="C306" s="272">
        <v>15</v>
      </c>
      <c r="D306" s="272">
        <v>1</v>
      </c>
      <c r="E306" s="272">
        <v>1</v>
      </c>
      <c r="F306" s="180">
        <f t="shared" si="42"/>
        <v>175</v>
      </c>
      <c r="G306" s="268">
        <v>5</v>
      </c>
      <c r="H306" s="268">
        <f t="shared" si="43"/>
        <v>75</v>
      </c>
      <c r="I306" s="177">
        <f>G306*35</f>
        <v>175</v>
      </c>
      <c r="J306" s="177"/>
      <c r="K306" s="232"/>
      <c r="L306" s="232"/>
      <c r="M306" s="237"/>
      <c r="N306" s="237"/>
      <c r="O306" s="237"/>
      <c r="P306" s="237"/>
      <c r="Q306" s="237"/>
    </row>
    <row r="307" spans="1:17" ht="25" customHeight="1">
      <c r="A307" s="313" t="s">
        <v>651</v>
      </c>
      <c r="B307" s="275" t="s">
        <v>652</v>
      </c>
      <c r="C307" s="272">
        <v>15</v>
      </c>
      <c r="D307" s="272">
        <v>1</v>
      </c>
      <c r="E307" s="272">
        <v>1</v>
      </c>
      <c r="F307" s="180">
        <f t="shared" si="42"/>
        <v>4515</v>
      </c>
      <c r="G307" s="268">
        <v>129</v>
      </c>
      <c r="H307" s="268">
        <f t="shared" si="43"/>
        <v>1935</v>
      </c>
      <c r="I307" s="255"/>
      <c r="J307" s="177"/>
      <c r="K307" s="177">
        <f>G307*35</f>
        <v>4515</v>
      </c>
      <c r="L307" s="232"/>
      <c r="M307" s="237"/>
      <c r="N307" s="237"/>
      <c r="O307" s="237"/>
      <c r="P307" s="237"/>
      <c r="Q307" s="237"/>
    </row>
    <row r="308" spans="1:17" ht="25" customHeight="1">
      <c r="A308" s="313" t="s">
        <v>653</v>
      </c>
      <c r="B308" s="275" t="s">
        <v>654</v>
      </c>
      <c r="C308" s="272">
        <v>15</v>
      </c>
      <c r="D308" s="272">
        <v>1</v>
      </c>
      <c r="E308" s="272">
        <v>1</v>
      </c>
      <c r="F308" s="172">
        <f t="shared" ref="F308:K308" si="44">SUM(F297:F307)</f>
        <v>6265</v>
      </c>
      <c r="G308" s="172">
        <f t="shared" si="44"/>
        <v>179</v>
      </c>
      <c r="H308" s="172">
        <f t="shared" si="44"/>
        <v>2685</v>
      </c>
      <c r="I308" s="172">
        <f t="shared" si="44"/>
        <v>1225</v>
      </c>
      <c r="J308" s="172">
        <f t="shared" si="44"/>
        <v>525</v>
      </c>
      <c r="K308" s="172">
        <f t="shared" si="44"/>
        <v>4515</v>
      </c>
      <c r="L308" s="232"/>
      <c r="M308" s="237"/>
      <c r="N308" s="237"/>
      <c r="O308" s="237"/>
      <c r="P308" s="237"/>
      <c r="Q308" s="237"/>
    </row>
    <row r="309" spans="1:17" ht="25" customHeight="1">
      <c r="A309" s="313" t="s">
        <v>655</v>
      </c>
      <c r="B309" s="275" t="s">
        <v>656</v>
      </c>
      <c r="C309" s="272">
        <v>15</v>
      </c>
      <c r="D309" s="272">
        <v>1</v>
      </c>
      <c r="E309" s="272">
        <v>1</v>
      </c>
      <c r="F309" s="268"/>
      <c r="G309" s="268"/>
      <c r="H309" s="268"/>
      <c r="I309" s="178"/>
      <c r="J309" s="178"/>
      <c r="K309" s="232"/>
      <c r="L309" s="232"/>
      <c r="M309" s="238"/>
      <c r="N309" s="238"/>
      <c r="O309" s="238"/>
      <c r="P309" s="238"/>
      <c r="Q309" s="238"/>
    </row>
    <row r="310" spans="1:17" ht="25" customHeight="1">
      <c r="A310" s="327"/>
      <c r="B310" s="328" t="s">
        <v>657</v>
      </c>
      <c r="C310" s="272">
        <v>15</v>
      </c>
      <c r="D310" s="272">
        <v>1</v>
      </c>
      <c r="E310" s="272">
        <v>1</v>
      </c>
      <c r="F310" s="268"/>
      <c r="G310" s="268"/>
      <c r="H310" s="268"/>
      <c r="I310" s="178"/>
      <c r="J310" s="178"/>
      <c r="K310" s="232"/>
      <c r="L310" s="232"/>
      <c r="M310" s="233"/>
      <c r="N310" s="233"/>
      <c r="O310" s="233"/>
      <c r="P310" s="233"/>
      <c r="Q310" s="233"/>
    </row>
    <row r="311" spans="1:17" ht="25" customHeight="1">
      <c r="A311" s="313"/>
      <c r="B311" s="314" t="s">
        <v>375</v>
      </c>
      <c r="C311" s="315">
        <f>SUM(C297:C310)</f>
        <v>210</v>
      </c>
      <c r="D311" s="315">
        <f>SUM(D297:D310)</f>
        <v>14</v>
      </c>
      <c r="E311" s="315">
        <f>SUM(E297:E310)</f>
        <v>14</v>
      </c>
      <c r="F311" s="180">
        <f>I311+J311+K311</f>
        <v>97020</v>
      </c>
      <c r="G311" s="268">
        <v>11</v>
      </c>
      <c r="H311" s="268">
        <f>C311*D311*E311*G311</f>
        <v>452760</v>
      </c>
      <c r="I311" s="177">
        <f>IF(G311&lt;70, C311*E311*16.5*1*2, C311*E311*16.5*1.3*2)</f>
        <v>97020</v>
      </c>
      <c r="J311" s="178"/>
      <c r="K311" s="232"/>
      <c r="L311" s="232"/>
      <c r="M311" s="233"/>
      <c r="N311" s="233"/>
      <c r="O311" s="233"/>
      <c r="P311" s="233"/>
      <c r="Q311" s="233"/>
    </row>
    <row r="312" spans="1:17" ht="25" customHeight="1">
      <c r="A312" s="316">
        <v>3</v>
      </c>
      <c r="B312" s="316" t="s">
        <v>164</v>
      </c>
      <c r="C312" s="272"/>
      <c r="D312" s="272"/>
      <c r="E312" s="272"/>
      <c r="F312" s="180">
        <f>I312+J312+K312</f>
        <v>0</v>
      </c>
      <c r="G312" s="268">
        <v>11</v>
      </c>
      <c r="H312" s="268">
        <f>C312*D312*E312*G312</f>
        <v>0</v>
      </c>
      <c r="I312" s="177">
        <f>IF(G312&lt;70, C312*E312*16.5*1*2, C312*E312*16.5*1.3*2)</f>
        <v>0</v>
      </c>
      <c r="J312" s="178"/>
      <c r="K312" s="232"/>
      <c r="L312" s="232"/>
      <c r="M312" s="233"/>
      <c r="N312" s="233"/>
      <c r="O312" s="233"/>
      <c r="P312" s="233"/>
      <c r="Q312" s="233"/>
    </row>
    <row r="313" spans="1:17" ht="25" customHeight="1">
      <c r="A313" s="317" t="s">
        <v>145</v>
      </c>
      <c r="B313" s="318" t="s">
        <v>165</v>
      </c>
      <c r="C313" s="272"/>
      <c r="D313" s="272"/>
      <c r="E313" s="272"/>
      <c r="F313" s="180">
        <f>I313+J313+K313</f>
        <v>0</v>
      </c>
      <c r="G313" s="268">
        <v>11</v>
      </c>
      <c r="H313" s="268">
        <f>C313*D313*E313*G313</f>
        <v>0</v>
      </c>
      <c r="I313" s="177">
        <f>IF(G313&lt;70, C313*E313*16.5*1*2, C313*E313*16.5*1.3*2)</f>
        <v>0</v>
      </c>
      <c r="J313" s="178"/>
      <c r="K313" s="232"/>
      <c r="L313" s="232"/>
      <c r="M313" s="233"/>
      <c r="N313" s="233"/>
      <c r="O313" s="233"/>
      <c r="P313" s="233"/>
      <c r="Q313" s="233"/>
    </row>
    <row r="314" spans="1:17" ht="25" customHeight="1">
      <c r="A314" s="269" t="s">
        <v>224</v>
      </c>
      <c r="B314" s="270" t="s">
        <v>470</v>
      </c>
      <c r="C314" s="272">
        <v>3</v>
      </c>
      <c r="D314" s="272">
        <v>1</v>
      </c>
      <c r="E314" s="272">
        <v>1</v>
      </c>
      <c r="F314" s="268"/>
      <c r="G314" s="268"/>
      <c r="H314" s="268"/>
      <c r="I314" s="178"/>
      <c r="J314" s="178"/>
      <c r="K314" s="232"/>
      <c r="L314" s="232"/>
      <c r="M314" s="233"/>
      <c r="N314" s="233"/>
      <c r="O314" s="233"/>
      <c r="P314" s="233"/>
      <c r="Q314" s="233"/>
    </row>
    <row r="315" spans="1:17" ht="25" customHeight="1">
      <c r="A315" s="269" t="s">
        <v>225</v>
      </c>
      <c r="B315" s="270" t="s">
        <v>471</v>
      </c>
      <c r="C315" s="272">
        <v>3</v>
      </c>
      <c r="D315" s="272">
        <v>1</v>
      </c>
      <c r="E315" s="272">
        <v>1</v>
      </c>
      <c r="F315" s="268"/>
      <c r="G315" s="268"/>
      <c r="H315" s="268"/>
      <c r="I315" s="178"/>
      <c r="J315" s="178"/>
      <c r="K315" s="232"/>
      <c r="L315" s="232"/>
      <c r="M315" s="233"/>
      <c r="N315" s="233"/>
      <c r="O315" s="233"/>
      <c r="P315" s="233"/>
      <c r="Q315" s="233"/>
    </row>
    <row r="316" spans="1:17" ht="25" customHeight="1">
      <c r="A316" s="313" t="s">
        <v>472</v>
      </c>
      <c r="B316" s="269" t="s">
        <v>473</v>
      </c>
      <c r="C316" s="272">
        <v>3</v>
      </c>
      <c r="D316" s="272">
        <v>1</v>
      </c>
      <c r="E316" s="272">
        <v>1</v>
      </c>
      <c r="F316" s="268"/>
      <c r="G316" s="268"/>
      <c r="H316" s="268"/>
      <c r="I316" s="178"/>
      <c r="J316" s="178"/>
      <c r="K316" s="232"/>
      <c r="L316" s="232"/>
      <c r="M316" s="233"/>
      <c r="N316" s="233"/>
      <c r="O316" s="233"/>
      <c r="P316" s="233"/>
      <c r="Q316" s="233"/>
    </row>
    <row r="317" spans="1:17" ht="25" customHeight="1">
      <c r="A317" s="311" t="s">
        <v>146</v>
      </c>
      <c r="B317" s="312" t="s">
        <v>166</v>
      </c>
      <c r="C317" s="272"/>
      <c r="D317" s="272"/>
      <c r="E317" s="272"/>
      <c r="F317" s="180">
        <f>I317+J317+K317</f>
        <v>600</v>
      </c>
      <c r="G317" s="268"/>
      <c r="H317" s="268"/>
      <c r="I317" s="178">
        <v>600</v>
      </c>
      <c r="J317" s="178"/>
      <c r="K317" s="232"/>
      <c r="L317" s="232"/>
      <c r="M317" s="233"/>
      <c r="N317" s="233"/>
      <c r="O317" s="233"/>
      <c r="P317" s="233"/>
      <c r="Q317" s="233"/>
    </row>
    <row r="318" spans="1:17" ht="25" customHeight="1">
      <c r="A318" s="311"/>
      <c r="B318" s="312" t="s">
        <v>658</v>
      </c>
      <c r="C318" s="272"/>
      <c r="D318" s="272"/>
      <c r="E318" s="272"/>
      <c r="F318" s="180">
        <f>I318+J318+K318</f>
        <v>300</v>
      </c>
      <c r="G318" s="268"/>
      <c r="H318" s="268"/>
      <c r="I318" s="178"/>
      <c r="J318" s="178">
        <v>300</v>
      </c>
      <c r="K318" s="232"/>
      <c r="L318" s="232"/>
      <c r="M318" s="233"/>
      <c r="N318" s="233"/>
      <c r="O318" s="233"/>
      <c r="P318" s="233"/>
      <c r="Q318" s="233"/>
    </row>
    <row r="319" spans="1:17" ht="25" customHeight="1">
      <c r="A319" s="311"/>
      <c r="B319" s="312" t="s">
        <v>659</v>
      </c>
      <c r="C319" s="272"/>
      <c r="D319" s="272"/>
      <c r="E319" s="272"/>
      <c r="F319" s="268"/>
      <c r="G319" s="268"/>
      <c r="H319" s="268"/>
      <c r="I319" s="178"/>
      <c r="J319" s="178"/>
      <c r="K319" s="232"/>
      <c r="L319" s="232"/>
      <c r="M319" s="233"/>
      <c r="N319" s="233"/>
      <c r="O319" s="233"/>
      <c r="P319" s="233"/>
      <c r="Q319" s="233"/>
    </row>
    <row r="320" spans="1:17" ht="25" customHeight="1">
      <c r="A320" s="311"/>
      <c r="B320" s="312" t="s">
        <v>474</v>
      </c>
      <c r="C320" s="272"/>
      <c r="D320" s="272"/>
      <c r="E320" s="272"/>
      <c r="F320" s="268"/>
      <c r="G320" s="268"/>
      <c r="H320" s="268"/>
      <c r="I320" s="178"/>
      <c r="J320" s="178"/>
      <c r="K320" s="232"/>
      <c r="L320" s="232"/>
      <c r="M320" s="233"/>
      <c r="N320" s="233"/>
      <c r="O320" s="233"/>
      <c r="P320" s="233"/>
      <c r="Q320" s="233"/>
    </row>
    <row r="321" spans="1:17" ht="25" customHeight="1">
      <c r="A321" s="313"/>
      <c r="B321" s="269" t="s">
        <v>475</v>
      </c>
      <c r="C321" s="272"/>
      <c r="D321" s="272"/>
      <c r="E321" s="272"/>
      <c r="F321" s="180">
        <f>I321+J321+K321</f>
        <v>1120</v>
      </c>
      <c r="G321" s="268"/>
      <c r="H321" s="268"/>
      <c r="I321" s="178">
        <v>1120</v>
      </c>
      <c r="J321" s="178"/>
      <c r="K321" s="232"/>
      <c r="L321" s="232"/>
      <c r="M321" s="233"/>
      <c r="N321" s="233"/>
      <c r="O321" s="233"/>
      <c r="P321" s="233"/>
      <c r="Q321" s="233"/>
    </row>
    <row r="322" spans="1:17" ht="25" customHeight="1">
      <c r="A322" s="311" t="s">
        <v>167</v>
      </c>
      <c r="B322" s="312" t="s">
        <v>168</v>
      </c>
      <c r="C322" s="272"/>
      <c r="D322" s="272"/>
      <c r="E322" s="272"/>
      <c r="F322" s="180">
        <f>I322+J322+K322</f>
        <v>680</v>
      </c>
      <c r="G322" s="268"/>
      <c r="H322" s="268"/>
      <c r="I322" s="178"/>
      <c r="J322" s="178">
        <v>680</v>
      </c>
      <c r="K322" s="232"/>
      <c r="L322" s="232"/>
      <c r="M322" s="233"/>
      <c r="N322" s="233"/>
      <c r="O322" s="233"/>
      <c r="P322" s="233"/>
      <c r="Q322" s="233"/>
    </row>
    <row r="323" spans="1:17" ht="25" customHeight="1">
      <c r="A323" s="313"/>
      <c r="B323" s="269" t="s">
        <v>660</v>
      </c>
      <c r="C323" s="272"/>
      <c r="D323" s="272"/>
      <c r="E323" s="272"/>
      <c r="F323" s="268">
        <f>SUM(F311:F322)</f>
        <v>99720</v>
      </c>
      <c r="G323" s="172">
        <f>SUM(G311:G322)</f>
        <v>33</v>
      </c>
      <c r="H323" s="172">
        <f>SUM(H311:H322)</f>
        <v>452760</v>
      </c>
      <c r="I323" s="172">
        <f>SUM(I311:I322)</f>
        <v>98740</v>
      </c>
      <c r="J323" s="172">
        <f>SUM(J311:J322)</f>
        <v>980</v>
      </c>
      <c r="K323" s="232"/>
      <c r="L323" s="232"/>
      <c r="M323" s="233"/>
      <c r="N323" s="233"/>
      <c r="O323" s="233"/>
      <c r="P323" s="233"/>
      <c r="Q323" s="233"/>
    </row>
    <row r="324" spans="1:17" ht="25" customHeight="1">
      <c r="A324" s="313"/>
      <c r="B324" s="269" t="s">
        <v>476</v>
      </c>
      <c r="C324" s="272"/>
      <c r="D324" s="272"/>
      <c r="E324" s="272"/>
      <c r="F324" s="268"/>
      <c r="G324" s="268"/>
      <c r="H324" s="268"/>
      <c r="I324" s="178"/>
      <c r="J324" s="178"/>
      <c r="K324" s="232"/>
      <c r="L324" s="232"/>
      <c r="M324" s="233"/>
      <c r="N324" s="233"/>
      <c r="O324" s="233"/>
      <c r="P324" s="233"/>
      <c r="Q324" s="233"/>
    </row>
    <row r="325" spans="1:17" ht="25" customHeight="1">
      <c r="A325" s="313"/>
      <c r="B325" s="269" t="s">
        <v>475</v>
      </c>
      <c r="C325" s="272"/>
      <c r="D325" s="272"/>
      <c r="E325" s="272"/>
      <c r="F325" s="268"/>
      <c r="G325" s="268"/>
      <c r="H325" s="268"/>
      <c r="I325" s="178"/>
      <c r="J325" s="178"/>
      <c r="K325" s="232"/>
      <c r="L325" s="232"/>
      <c r="M325" s="233"/>
      <c r="N325" s="233"/>
      <c r="O325" s="233"/>
      <c r="P325" s="233"/>
      <c r="Q325" s="233"/>
    </row>
    <row r="326" spans="1:17" ht="25" customHeight="1">
      <c r="A326" s="313"/>
      <c r="B326" s="314" t="s">
        <v>375</v>
      </c>
      <c r="C326" s="315">
        <f>SUM(C314:C325)</f>
        <v>9</v>
      </c>
      <c r="D326" s="315">
        <f>SUM(D314:D325)</f>
        <v>3</v>
      </c>
      <c r="E326" s="315">
        <f>SUM(E314:E325)</f>
        <v>3</v>
      </c>
      <c r="F326" s="268"/>
      <c r="G326" s="268"/>
      <c r="H326" s="268"/>
      <c r="I326" s="178"/>
      <c r="J326" s="178"/>
      <c r="K326" s="232"/>
      <c r="L326" s="232"/>
      <c r="M326" s="233"/>
      <c r="N326" s="233"/>
      <c r="O326" s="233"/>
      <c r="P326" s="233"/>
      <c r="Q326" s="233"/>
    </row>
    <row r="327" spans="1:17" ht="25" customHeight="1">
      <c r="A327" s="277" t="s">
        <v>495</v>
      </c>
      <c r="B327" s="277" t="s">
        <v>496</v>
      </c>
      <c r="C327" s="272"/>
      <c r="D327" s="272"/>
      <c r="E327" s="272"/>
      <c r="F327" s="180">
        <f>I327+J327+K327</f>
        <v>0</v>
      </c>
      <c r="G327" s="186">
        <v>40</v>
      </c>
      <c r="H327" s="268">
        <f>C327*D327*E327*G327</f>
        <v>0</v>
      </c>
      <c r="I327" s="177">
        <f>IF(G327&lt;70, C327*E327*16.5*1, C327*E327*16.5*1.3)</f>
        <v>0</v>
      </c>
      <c r="J327" s="178"/>
      <c r="K327" s="232"/>
      <c r="L327" s="232"/>
      <c r="M327" s="233"/>
      <c r="N327" s="233"/>
      <c r="O327" s="233"/>
      <c r="P327" s="233"/>
      <c r="Q327" s="233"/>
    </row>
    <row r="328" spans="1:17" ht="25" customHeight="1">
      <c r="A328" s="277">
        <v>1</v>
      </c>
      <c r="B328" s="279" t="s">
        <v>223</v>
      </c>
      <c r="C328" s="272"/>
      <c r="D328" s="272"/>
      <c r="E328" s="272"/>
      <c r="F328" s="180">
        <f>I328+J328+K328</f>
        <v>0</v>
      </c>
      <c r="G328" s="186">
        <v>40</v>
      </c>
      <c r="H328" s="268">
        <f>C328*D328*E328*G328</f>
        <v>0</v>
      </c>
      <c r="I328" s="177">
        <f>IF(G328&lt;70, C328*E328*16.5*1, C328*E328*16.5*1.3)</f>
        <v>0</v>
      </c>
      <c r="J328" s="178"/>
      <c r="K328" s="232"/>
      <c r="L328" s="232"/>
      <c r="M328" s="233"/>
      <c r="N328" s="233"/>
      <c r="O328" s="233"/>
      <c r="P328" s="233"/>
      <c r="Q328" s="233"/>
    </row>
    <row r="329" spans="1:17" ht="25" customHeight="1">
      <c r="A329" s="277" t="s">
        <v>376</v>
      </c>
      <c r="B329" s="279" t="s">
        <v>161</v>
      </c>
      <c r="C329" s="272"/>
      <c r="D329" s="272"/>
      <c r="E329" s="272"/>
      <c r="F329" s="268">
        <f>SUM(F327:F328)</f>
        <v>0</v>
      </c>
      <c r="G329" s="172">
        <f>SUM(G327:G328)</f>
        <v>80</v>
      </c>
      <c r="H329" s="172">
        <f>SUM(H327:H328)</f>
        <v>0</v>
      </c>
      <c r="I329" s="172">
        <f>SUM(I327:I328)</f>
        <v>0</v>
      </c>
      <c r="J329" s="172">
        <f>SUM(J327:J328)</f>
        <v>0</v>
      </c>
      <c r="K329" s="232"/>
      <c r="L329" s="232"/>
      <c r="M329" s="233"/>
      <c r="N329" s="233"/>
      <c r="O329" s="233"/>
      <c r="P329" s="233"/>
      <c r="Q329" s="233"/>
    </row>
    <row r="330" spans="1:17" s="339" customFormat="1" ht="25" customHeight="1">
      <c r="A330" s="333" t="s">
        <v>224</v>
      </c>
      <c r="B330" s="331" t="s">
        <v>661</v>
      </c>
      <c r="C330" s="334">
        <v>2</v>
      </c>
      <c r="D330" s="334">
        <v>1</v>
      </c>
      <c r="E330" s="334">
        <v>5</v>
      </c>
      <c r="F330" s="348">
        <f t="shared" ref="F330:K330" si="45">F273+F295+F308+F329+F323</f>
        <v>110522.5</v>
      </c>
      <c r="G330" s="349">
        <f t="shared" si="45"/>
        <v>2041</v>
      </c>
      <c r="H330" s="349">
        <f t="shared" si="45"/>
        <v>463159</v>
      </c>
      <c r="I330" s="349">
        <f t="shared" si="45"/>
        <v>103388.75</v>
      </c>
      <c r="J330" s="349">
        <f t="shared" si="45"/>
        <v>2618.75</v>
      </c>
      <c r="K330" s="349">
        <f t="shared" si="45"/>
        <v>4515</v>
      </c>
      <c r="L330" s="350">
        <f>'Bieu3 QLGD'!F25</f>
        <v>1890</v>
      </c>
      <c r="M330" s="351">
        <f>'Bieu3 QLGD'!N25</f>
        <v>1606.5</v>
      </c>
      <c r="N330" s="351">
        <f>I330-M330</f>
        <v>101782.25</v>
      </c>
      <c r="O330" s="351">
        <f>'Bieu3 QLGD'!O25</f>
        <v>1311.75</v>
      </c>
      <c r="P330" s="351">
        <f>'Bieu3 QLGD'!P25</f>
        <v>680</v>
      </c>
      <c r="Q330" s="351"/>
    </row>
    <row r="331" spans="1:17" s="339" customFormat="1" ht="25" customHeight="1">
      <c r="A331" s="333" t="s">
        <v>224</v>
      </c>
      <c r="B331" s="331" t="s">
        <v>662</v>
      </c>
      <c r="C331" s="334">
        <v>2</v>
      </c>
      <c r="D331" s="334">
        <v>1</v>
      </c>
      <c r="E331" s="334">
        <v>4</v>
      </c>
      <c r="F331" s="352"/>
      <c r="G331" s="353"/>
      <c r="H331" s="353"/>
      <c r="I331" s="353"/>
      <c r="J331" s="353"/>
      <c r="K331" s="353"/>
      <c r="L331" s="354"/>
      <c r="M331" s="338"/>
      <c r="N331" s="338"/>
      <c r="O331" s="338"/>
      <c r="P331" s="338"/>
      <c r="Q331" s="338"/>
    </row>
    <row r="332" spans="1:17" s="339" customFormat="1" ht="25" customHeight="1">
      <c r="A332" s="333" t="s">
        <v>225</v>
      </c>
      <c r="B332" s="331" t="s">
        <v>663</v>
      </c>
      <c r="C332" s="334">
        <v>2</v>
      </c>
      <c r="D332" s="334">
        <v>1</v>
      </c>
      <c r="E332" s="334">
        <v>4</v>
      </c>
      <c r="F332" s="335"/>
      <c r="G332" s="335"/>
      <c r="H332" s="335"/>
      <c r="I332" s="335"/>
      <c r="J332" s="335"/>
      <c r="K332" s="336"/>
      <c r="L332" s="337"/>
      <c r="M332" s="337"/>
      <c r="N332" s="337"/>
      <c r="O332" s="337"/>
      <c r="P332" s="337"/>
      <c r="Q332" s="338"/>
    </row>
    <row r="333" spans="1:17" s="339" customFormat="1" ht="25" customHeight="1">
      <c r="A333" s="333"/>
      <c r="B333" s="340" t="s">
        <v>375</v>
      </c>
      <c r="C333" s="341">
        <f>SUM(C331:C332)</f>
        <v>4</v>
      </c>
      <c r="D333" s="341">
        <f>SUM(D331:D332)</f>
        <v>2</v>
      </c>
      <c r="E333" s="341">
        <f>SUM(E331:E332)</f>
        <v>8</v>
      </c>
      <c r="F333" s="342"/>
      <c r="G333" s="342"/>
      <c r="H333" s="342"/>
      <c r="I333" s="342"/>
      <c r="J333" s="342"/>
      <c r="K333" s="343"/>
      <c r="L333" s="344"/>
      <c r="M333" s="344"/>
      <c r="N333" s="344"/>
      <c r="O333" s="344"/>
      <c r="P333" s="344"/>
      <c r="Q333" s="338"/>
    </row>
    <row r="334" spans="1:17" s="339" customFormat="1" ht="25" customHeight="1">
      <c r="A334" s="333"/>
      <c r="B334" s="340" t="s">
        <v>477</v>
      </c>
      <c r="C334" s="341">
        <f>C273+C295+C311+C333+C326</f>
        <v>330</v>
      </c>
      <c r="D334" s="341">
        <f>D273+D295+D311+D333+D326</f>
        <v>58.6</v>
      </c>
      <c r="E334" s="341">
        <f>E273+E295+E311+E333+E326</f>
        <v>97</v>
      </c>
      <c r="F334" s="342"/>
      <c r="G334" s="342"/>
      <c r="H334" s="342"/>
      <c r="I334" s="342"/>
      <c r="J334" s="342"/>
      <c r="K334" s="343"/>
      <c r="L334" s="344"/>
      <c r="M334" s="344"/>
      <c r="N334" s="344"/>
      <c r="O334" s="344"/>
      <c r="P334" s="344"/>
      <c r="Q334" s="338"/>
    </row>
    <row r="335" spans="1:17" s="339" customFormat="1" ht="25" customHeight="1">
      <c r="A335" s="345"/>
      <c r="B335" s="346"/>
      <c r="C335" s="342"/>
      <c r="D335" s="342"/>
      <c r="E335" s="347"/>
      <c r="F335" s="342"/>
      <c r="G335" s="342"/>
      <c r="H335" s="342"/>
      <c r="I335" s="342"/>
      <c r="J335" s="342"/>
      <c r="K335" s="343"/>
      <c r="L335" s="344"/>
      <c r="M335" s="344"/>
      <c r="N335" s="344"/>
      <c r="O335" s="344"/>
      <c r="P335" s="344"/>
      <c r="Q335" s="338"/>
    </row>
    <row r="336" spans="1:17" ht="25" customHeight="1">
      <c r="A336" s="168" t="s">
        <v>6</v>
      </c>
      <c r="B336" s="168" t="s">
        <v>160</v>
      </c>
      <c r="C336" s="172">
        <f t="shared" ref="C336:K336" si="46">C48+C185+C211+C273+C126</f>
        <v>76</v>
      </c>
      <c r="D336" s="172">
        <f t="shared" si="46"/>
        <v>29.6</v>
      </c>
      <c r="E336" s="172">
        <f t="shared" si="46"/>
        <v>38</v>
      </c>
      <c r="F336" s="172">
        <f t="shared" si="46"/>
        <v>45451.149999999994</v>
      </c>
      <c r="G336" s="172">
        <f t="shared" si="46"/>
        <v>5620</v>
      </c>
      <c r="H336" s="172">
        <f t="shared" si="46"/>
        <v>1371917.36</v>
      </c>
      <c r="I336" s="172">
        <f t="shared" si="46"/>
        <v>45253.149999999994</v>
      </c>
      <c r="J336" s="172">
        <f t="shared" si="46"/>
        <v>198</v>
      </c>
      <c r="K336" s="172">
        <f t="shared" si="46"/>
        <v>0</v>
      </c>
      <c r="L336" s="239" t="e">
        <f>L330+L240+#REF!+L165+L85</f>
        <v>#REF!</v>
      </c>
      <c r="M336" s="239" t="e">
        <f>M330+M240+#REF!+M165+M85</f>
        <v>#REF!</v>
      </c>
      <c r="N336" s="239" t="e">
        <f>N330+N240+#REF!+N165+N85</f>
        <v>#REF!</v>
      </c>
      <c r="O336" s="239" t="e">
        <f>O330+O240+#REF!+O165+O85</f>
        <v>#REF!</v>
      </c>
      <c r="P336" s="239" t="e">
        <f>P330+P240+#REF!+P165+P85</f>
        <v>#REF!</v>
      </c>
      <c r="Q336" s="179"/>
    </row>
    <row r="337" spans="1:17" ht="25" customHeight="1">
      <c r="A337" s="183" t="s">
        <v>7</v>
      </c>
      <c r="B337" s="168" t="s">
        <v>170</v>
      </c>
      <c r="C337" s="172">
        <f t="shared" ref="C337:K337" si="47">C308+C295+C223+C195+C63+C146</f>
        <v>63</v>
      </c>
      <c r="D337" s="172">
        <f t="shared" si="47"/>
        <v>17</v>
      </c>
      <c r="E337" s="172">
        <f t="shared" si="47"/>
        <v>62</v>
      </c>
      <c r="F337" s="172">
        <f t="shared" si="47"/>
        <v>58648.25</v>
      </c>
      <c r="G337" s="172">
        <f t="shared" si="47"/>
        <v>928</v>
      </c>
      <c r="H337" s="172">
        <f t="shared" si="47"/>
        <v>217128</v>
      </c>
      <c r="I337" s="172">
        <f t="shared" si="47"/>
        <v>52494.5</v>
      </c>
      <c r="J337" s="172">
        <f t="shared" si="47"/>
        <v>1638.75</v>
      </c>
      <c r="K337" s="172">
        <f t="shared" si="47"/>
        <v>4515</v>
      </c>
      <c r="L337" s="172">
        <f>L308+L295+L223+L195+L146</f>
        <v>0</v>
      </c>
      <c r="M337" s="172">
        <f>M308+M295+M223+M195+M146</f>
        <v>0</v>
      </c>
      <c r="N337" s="172">
        <f>N308+N295+N223+N195+N146</f>
        <v>0</v>
      </c>
      <c r="O337" s="172">
        <f>O308+O295+O223+O195+O146</f>
        <v>0</v>
      </c>
      <c r="P337" s="172">
        <f>P308+P295+P223+P195+P146</f>
        <v>0</v>
      </c>
      <c r="Q337" s="179"/>
    </row>
    <row r="338" spans="1:17" ht="25" customHeight="1">
      <c r="A338" s="183" t="s">
        <v>24</v>
      </c>
      <c r="B338" s="171" t="s">
        <v>164</v>
      </c>
      <c r="C338" s="172">
        <f t="shared" ref="C338:J338" si="48">C323+C229</f>
        <v>0</v>
      </c>
      <c r="D338" s="172">
        <f t="shared" si="48"/>
        <v>0</v>
      </c>
      <c r="E338" s="172">
        <f t="shared" si="48"/>
        <v>0</v>
      </c>
      <c r="F338" s="172">
        <f t="shared" si="48"/>
        <v>99720</v>
      </c>
      <c r="G338" s="172">
        <f t="shared" si="48"/>
        <v>33</v>
      </c>
      <c r="H338" s="172">
        <f t="shared" si="48"/>
        <v>452760</v>
      </c>
      <c r="I338" s="172">
        <f t="shared" si="48"/>
        <v>98740</v>
      </c>
      <c r="J338" s="172">
        <f t="shared" si="48"/>
        <v>980</v>
      </c>
      <c r="K338" s="172">
        <f t="shared" ref="K338:P338" si="49">K329+K229</f>
        <v>0</v>
      </c>
      <c r="L338" s="172">
        <f t="shared" si="49"/>
        <v>0</v>
      </c>
      <c r="M338" s="172">
        <f t="shared" si="49"/>
        <v>0</v>
      </c>
      <c r="N338" s="172">
        <f t="shared" si="49"/>
        <v>0</v>
      </c>
      <c r="O338" s="172">
        <f t="shared" si="49"/>
        <v>0</v>
      </c>
      <c r="P338" s="172">
        <f t="shared" si="49"/>
        <v>0</v>
      </c>
      <c r="Q338" s="179"/>
    </row>
    <row r="339" spans="1:17" ht="25" customHeight="1">
      <c r="A339" s="183"/>
      <c r="B339" s="171" t="s">
        <v>530</v>
      </c>
      <c r="C339" s="172" t="e">
        <f>C329+C239+#REF!+C164+C83</f>
        <v>#REF!</v>
      </c>
      <c r="D339" s="172" t="e">
        <f>D329+D239+#REF!+D164+D83</f>
        <v>#REF!</v>
      </c>
      <c r="E339" s="172" t="e">
        <f>E329+E239+#REF!+E164+E83</f>
        <v>#REF!</v>
      </c>
      <c r="F339" s="172" t="e">
        <f>F329+F239+#REF!+F164+F83</f>
        <v>#REF!</v>
      </c>
      <c r="G339" s="172" t="e">
        <f>G329+G239+#REF!+G164+G83</f>
        <v>#REF!</v>
      </c>
      <c r="H339" s="172" t="e">
        <f>H329+H239+#REF!+H164+H83</f>
        <v>#REF!</v>
      </c>
      <c r="I339" s="172" t="e">
        <f>I329+I239+#REF!+I164+I83</f>
        <v>#REF!</v>
      </c>
      <c r="J339" s="172" t="e">
        <f>J329+J239+#REF!+J164+J83</f>
        <v>#REF!</v>
      </c>
      <c r="K339" s="172" t="e">
        <f>K329+K239+#REF!+K164+K83</f>
        <v>#REF!</v>
      </c>
      <c r="L339" s="172" t="e">
        <f>L329+L239+#REF!+L164+L83</f>
        <v>#REF!</v>
      </c>
      <c r="M339" s="172" t="e">
        <f>M329+M239+#REF!+M164+M83</f>
        <v>#REF!</v>
      </c>
      <c r="N339" s="172" t="e">
        <f>N329+N239+#REF!+N164+N83</f>
        <v>#REF!</v>
      </c>
      <c r="O339" s="172" t="e">
        <f>O329+O239+#REF!+O164+O83</f>
        <v>#REF!</v>
      </c>
      <c r="P339" s="172" t="e">
        <f>P329+P239+#REF!+P164+P83</f>
        <v>#REF!</v>
      </c>
      <c r="Q339" s="179"/>
    </row>
    <row r="340" spans="1:17" ht="25" customHeight="1">
      <c r="A340" s="183"/>
      <c r="B340" s="171" t="s">
        <v>531</v>
      </c>
      <c r="C340" s="172"/>
      <c r="D340" s="172"/>
      <c r="E340" s="172"/>
      <c r="F340" s="172"/>
      <c r="G340" s="172"/>
      <c r="H340" s="172"/>
      <c r="I340" s="172"/>
      <c r="J340" s="172"/>
      <c r="K340" s="240"/>
      <c r="L340" s="240"/>
      <c r="M340" s="240"/>
      <c r="N340" s="240"/>
      <c r="O340" s="240"/>
      <c r="P340" s="240"/>
      <c r="Q340" s="179"/>
    </row>
    <row r="341" spans="1:17" ht="25" customHeight="1">
      <c r="A341" s="164"/>
      <c r="B341" s="191" t="s">
        <v>479</v>
      </c>
      <c r="C341" s="187" t="e">
        <f>C330+C240+#REF!+C165+C85</f>
        <v>#REF!</v>
      </c>
      <c r="D341" s="187" t="e">
        <f>D330+D240+#REF!+D165+D85</f>
        <v>#REF!</v>
      </c>
      <c r="E341" s="187" t="e">
        <f>E330+E240+#REF!+E165+E85</f>
        <v>#REF!</v>
      </c>
      <c r="F341" s="187" t="e">
        <f>F330+F240+#REF!+F165+F85</f>
        <v>#REF!</v>
      </c>
      <c r="G341" s="187" t="e">
        <f>G330+G240+#REF!+G165+G85</f>
        <v>#REF!</v>
      </c>
      <c r="H341" s="187" t="e">
        <f>H330+H240+#REF!+H165+H85</f>
        <v>#REF!</v>
      </c>
      <c r="I341" s="187" t="e">
        <f>I330+I240+#REF!+I165+I85</f>
        <v>#REF!</v>
      </c>
      <c r="J341" s="187" t="e">
        <f>J330+J240+#REF!+J165+J85</f>
        <v>#REF!</v>
      </c>
      <c r="K341" s="187" t="e">
        <f>K330+K240+#REF!+K165+K85</f>
        <v>#REF!</v>
      </c>
      <c r="L341" s="241" t="e">
        <f>L330+L240+#REF!+L165+L85</f>
        <v>#REF!</v>
      </c>
      <c r="M341" s="242" t="e">
        <f>M330+M240+#REF!+M165+M85</f>
        <v>#REF!</v>
      </c>
      <c r="N341" s="242" t="e">
        <f>N330+N240+#REF!+N165+N85</f>
        <v>#REF!</v>
      </c>
      <c r="O341" s="241" t="e">
        <f>O330+O240+#REF!+O165+O85</f>
        <v>#REF!</v>
      </c>
      <c r="P341" s="241" t="e">
        <f>P330+P240+#REF!+P165+P85</f>
        <v>#REF!</v>
      </c>
      <c r="Q341" s="179"/>
    </row>
    <row r="342" spans="1:17">
      <c r="C342" s="131"/>
      <c r="D342" s="1868" t="s">
        <v>555</v>
      </c>
      <c r="E342" s="1868"/>
      <c r="F342" s="1868"/>
      <c r="G342" s="1868"/>
      <c r="H342" s="1868"/>
      <c r="I342" s="1868"/>
      <c r="J342" s="265" t="e">
        <f>J341+K341</f>
        <v>#REF!</v>
      </c>
      <c r="K342" s="45"/>
      <c r="L342" s="45"/>
      <c r="M342" s="45"/>
      <c r="N342" s="1869" t="s">
        <v>573</v>
      </c>
      <c r="O342" s="1869"/>
      <c r="P342" s="1869"/>
      <c r="Q342" s="1869"/>
    </row>
    <row r="343" spans="1:17" ht="12.75" customHeight="1">
      <c r="A343" s="266"/>
      <c r="B343" s="266"/>
      <c r="C343" s="131"/>
      <c r="D343" s="131"/>
      <c r="E343" s="131"/>
      <c r="F343" s="131"/>
      <c r="G343" s="131"/>
      <c r="H343" s="131"/>
      <c r="I343" s="131"/>
      <c r="J343" s="131"/>
      <c r="K343" s="45"/>
      <c r="L343" s="45"/>
      <c r="M343" s="45"/>
      <c r="N343" s="1848" t="s">
        <v>536</v>
      </c>
      <c r="O343" s="1848"/>
      <c r="P343" s="1848"/>
      <c r="Q343" s="1848"/>
    </row>
    <row r="344" spans="1:17">
      <c r="A344" s="266"/>
      <c r="B344" s="1870" t="s">
        <v>148</v>
      </c>
      <c r="C344" s="1870"/>
      <c r="D344" s="1870"/>
      <c r="E344" s="1870"/>
      <c r="F344" s="1870"/>
      <c r="G344" s="1870"/>
      <c r="H344" s="1870"/>
      <c r="I344" s="1870"/>
      <c r="J344" s="1870"/>
      <c r="K344" s="1870"/>
      <c r="L344" s="45"/>
      <c r="M344" s="45"/>
      <c r="N344" s="45"/>
      <c r="O344" s="45"/>
      <c r="P344" s="45"/>
      <c r="Q344" s="267"/>
    </row>
    <row r="345" spans="1:17" ht="26.25" customHeight="1">
      <c r="A345" s="266"/>
      <c r="B345" s="1871" t="s">
        <v>235</v>
      </c>
      <c r="C345" s="1871"/>
      <c r="D345" s="1871"/>
      <c r="E345" s="1871"/>
      <c r="F345" s="1871"/>
      <c r="G345" s="1871"/>
      <c r="H345" s="1871"/>
      <c r="I345" s="1871"/>
      <c r="J345" s="1871"/>
      <c r="K345" s="1871"/>
      <c r="L345" s="45"/>
      <c r="M345" s="45"/>
      <c r="N345" s="45"/>
      <c r="O345" s="45"/>
      <c r="P345" s="45"/>
      <c r="Q345" s="267"/>
    </row>
    <row r="346" spans="1:17" ht="30" customHeight="1">
      <c r="A346" s="266"/>
      <c r="B346" s="1866" t="s">
        <v>72</v>
      </c>
      <c r="C346" s="1866"/>
      <c r="D346" s="1866"/>
      <c r="E346" s="1866"/>
      <c r="F346" s="1866"/>
      <c r="G346" s="1866"/>
      <c r="H346" s="1866"/>
      <c r="I346" s="1866"/>
      <c r="J346" s="1866"/>
      <c r="K346" s="1866"/>
      <c r="L346" s="45"/>
      <c r="M346" s="45"/>
      <c r="N346" s="1842" t="s">
        <v>537</v>
      </c>
      <c r="O346" s="1842"/>
      <c r="P346" s="1842"/>
      <c r="Q346" s="1842"/>
    </row>
  </sheetData>
  <mergeCells count="30">
    <mergeCell ref="A5:A6"/>
    <mergeCell ref="B5:B6"/>
    <mergeCell ref="C5:C6"/>
    <mergeCell ref="D5:D6"/>
    <mergeCell ref="E5:E6"/>
    <mergeCell ref="A1:C1"/>
    <mergeCell ref="I1:N1"/>
    <mergeCell ref="A2:C2"/>
    <mergeCell ref="I2:N2"/>
    <mergeCell ref="A3:Q3"/>
    <mergeCell ref="Q128:Q134"/>
    <mergeCell ref="F5:F6"/>
    <mergeCell ref="G5:G6"/>
    <mergeCell ref="H5:H6"/>
    <mergeCell ref="I5:K5"/>
    <mergeCell ref="L5:L6"/>
    <mergeCell ref="M5:M6"/>
    <mergeCell ref="N5:N6"/>
    <mergeCell ref="O5:O6"/>
    <mergeCell ref="P5:P6"/>
    <mergeCell ref="Q5:Q6"/>
    <mergeCell ref="Q50:Q52"/>
    <mergeCell ref="B346:K346"/>
    <mergeCell ref="N346:Q346"/>
    <mergeCell ref="M300:Q300"/>
    <mergeCell ref="D342:I342"/>
    <mergeCell ref="N342:Q342"/>
    <mergeCell ref="N343:Q343"/>
    <mergeCell ref="B344:K344"/>
    <mergeCell ref="B345:K345"/>
  </mergeCells>
  <pageMargins left="0.2" right="0.2" top="0.5" bottom="0.42" header="0.62" footer="0.6"/>
  <pageSetup paperSize="9" scale="8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46"/>
  <sheetViews>
    <sheetView zoomScale="125" zoomScaleNormal="125" zoomScalePageLayoutView="125" workbookViewId="0">
      <pane xSplit="2" ySplit="6" topLeftCell="C67" activePane="bottomRight" state="frozen"/>
      <selection pane="topRight" activeCell="C1" sqref="C1"/>
      <selection pane="bottomLeft" activeCell="A7" sqref="A7"/>
      <selection pane="bottomRight" activeCell="G246" sqref="G246"/>
    </sheetView>
  </sheetViews>
  <sheetFormatPr baseColWidth="10" defaultColWidth="9.1640625" defaultRowHeight="13"/>
  <cols>
    <col min="1" max="1" width="5.5" style="256" customWidth="1"/>
    <col min="2" max="2" width="41.1640625" style="256" customWidth="1"/>
    <col min="3" max="3" width="7" style="248" customWidth="1"/>
    <col min="4" max="4" width="7" style="248" hidden="1" customWidth="1"/>
    <col min="5" max="5" width="6" style="248" customWidth="1"/>
    <col min="6" max="6" width="7.5" style="132" customWidth="1"/>
    <col min="7" max="7" width="6.83203125" style="248" customWidth="1"/>
    <col min="8" max="8" width="11.1640625" style="248" customWidth="1"/>
    <col min="9" max="10" width="8.33203125" style="248" customWidth="1"/>
    <col min="11" max="11" width="6.5" style="257" customWidth="1"/>
    <col min="12" max="12" width="7.6640625" style="257" customWidth="1"/>
    <col min="13" max="13" width="9.5" style="257" customWidth="1"/>
    <col min="14" max="14" width="11" style="257" customWidth="1"/>
    <col min="15" max="15" width="6.6640625" style="257" customWidth="1"/>
    <col min="16" max="16" width="9.6640625" style="257" customWidth="1"/>
    <col min="17" max="17" width="12.6640625" style="147" customWidth="1"/>
    <col min="18" max="16384" width="9.1640625" style="147"/>
  </cols>
  <sheetData>
    <row r="1" spans="1:17" ht="14.25" customHeight="1">
      <c r="A1" s="1861" t="s">
        <v>3</v>
      </c>
      <c r="B1" s="1861"/>
      <c r="C1" s="1861"/>
      <c r="D1" s="266"/>
      <c r="E1" s="266"/>
      <c r="F1" s="266"/>
      <c r="G1" s="266"/>
      <c r="H1" s="131"/>
      <c r="I1" s="1842"/>
      <c r="J1" s="1842"/>
      <c r="K1" s="1842"/>
      <c r="L1" s="1842"/>
      <c r="M1" s="1842"/>
      <c r="N1" s="1842"/>
      <c r="O1" s="46"/>
      <c r="P1" s="46"/>
      <c r="Q1" s="249" t="s">
        <v>29</v>
      </c>
    </row>
    <row r="2" spans="1:17">
      <c r="A2" s="1862" t="s">
        <v>521</v>
      </c>
      <c r="B2" s="1862"/>
      <c r="C2" s="1862"/>
      <c r="D2" s="267"/>
      <c r="E2" s="267"/>
      <c r="F2" s="266"/>
      <c r="G2" s="267"/>
      <c r="H2" s="131"/>
      <c r="I2" s="1842"/>
      <c r="J2" s="1842"/>
      <c r="K2" s="1842"/>
      <c r="L2" s="1842"/>
      <c r="M2" s="1842"/>
      <c r="N2" s="1842"/>
      <c r="O2" s="46"/>
      <c r="P2" s="46"/>
      <c r="Q2" s="46"/>
    </row>
    <row r="3" spans="1:17" ht="30" customHeight="1">
      <c r="A3" s="1878" t="s">
        <v>574</v>
      </c>
      <c r="B3" s="1878"/>
      <c r="C3" s="1878"/>
      <c r="D3" s="1878"/>
      <c r="E3" s="1878"/>
      <c r="F3" s="1878"/>
      <c r="G3" s="1878"/>
      <c r="H3" s="1878"/>
      <c r="I3" s="1878"/>
      <c r="J3" s="1878"/>
      <c r="K3" s="1878"/>
      <c r="L3" s="1878"/>
      <c r="M3" s="1878"/>
      <c r="N3" s="1878"/>
      <c r="O3" s="1878"/>
      <c r="P3" s="1878"/>
      <c r="Q3" s="1878"/>
    </row>
    <row r="4" spans="1:17">
      <c r="A4" s="52"/>
      <c r="B4" s="52"/>
      <c r="C4" s="53"/>
      <c r="D4" s="53"/>
      <c r="E4" s="53"/>
      <c r="F4" s="53"/>
      <c r="G4" s="53"/>
      <c r="H4" s="53"/>
      <c r="I4" s="53"/>
      <c r="J4" s="53"/>
      <c r="K4" s="52"/>
      <c r="L4" s="52"/>
      <c r="M4" s="52"/>
      <c r="N4" s="52" t="s">
        <v>19</v>
      </c>
      <c r="O4" s="52"/>
      <c r="P4" s="52"/>
      <c r="Q4" s="53"/>
    </row>
    <row r="5" spans="1:17" ht="133.5" customHeight="1">
      <c r="A5" s="1879" t="s">
        <v>0</v>
      </c>
      <c r="B5" s="1873" t="s">
        <v>169</v>
      </c>
      <c r="C5" s="1873" t="s">
        <v>202</v>
      </c>
      <c r="D5" s="1873" t="s">
        <v>203</v>
      </c>
      <c r="E5" s="1873" t="s">
        <v>150</v>
      </c>
      <c r="F5" s="1873" t="s">
        <v>157</v>
      </c>
      <c r="G5" s="1873" t="s">
        <v>206</v>
      </c>
      <c r="H5" s="1873" t="s">
        <v>205</v>
      </c>
      <c r="I5" s="1875" t="s">
        <v>207</v>
      </c>
      <c r="J5" s="1876"/>
      <c r="K5" s="1877"/>
      <c r="L5" s="1873" t="s">
        <v>208</v>
      </c>
      <c r="M5" s="1873" t="s">
        <v>209</v>
      </c>
      <c r="N5" s="1873" t="s">
        <v>38</v>
      </c>
      <c r="O5" s="1873" t="s">
        <v>84</v>
      </c>
      <c r="P5" s="1873" t="s">
        <v>85</v>
      </c>
      <c r="Q5" s="1873" t="s">
        <v>2</v>
      </c>
    </row>
    <row r="6" spans="1:17" ht="50" customHeight="1">
      <c r="A6" s="1880"/>
      <c r="B6" s="1874"/>
      <c r="C6" s="1874"/>
      <c r="D6" s="1874"/>
      <c r="E6" s="1874"/>
      <c r="F6" s="1874"/>
      <c r="G6" s="1874"/>
      <c r="H6" s="1874"/>
      <c r="I6" s="146" t="s">
        <v>158</v>
      </c>
      <c r="J6" s="146" t="s">
        <v>99</v>
      </c>
      <c r="K6" s="146" t="s">
        <v>156</v>
      </c>
      <c r="L6" s="1874"/>
      <c r="M6" s="1874"/>
      <c r="N6" s="1874"/>
      <c r="O6" s="1874"/>
      <c r="P6" s="1874"/>
      <c r="Q6" s="1874"/>
    </row>
    <row r="7" spans="1:17" s="250" customFormat="1" ht="30" customHeight="1">
      <c r="A7" s="149" t="s">
        <v>113</v>
      </c>
      <c r="B7" s="150" t="s">
        <v>114</v>
      </c>
      <c r="C7" s="150" t="s">
        <v>115</v>
      </c>
      <c r="D7" s="151" t="s">
        <v>116</v>
      </c>
      <c r="E7" s="151" t="s">
        <v>116</v>
      </c>
      <c r="F7" s="151" t="s">
        <v>117</v>
      </c>
      <c r="G7" s="151" t="s">
        <v>118</v>
      </c>
      <c r="H7" s="151" t="s">
        <v>580</v>
      </c>
      <c r="I7" s="151" t="s">
        <v>121</v>
      </c>
      <c r="J7" s="151" t="s">
        <v>123</v>
      </c>
      <c r="K7" s="151" t="s">
        <v>132</v>
      </c>
      <c r="L7" s="151" t="s">
        <v>124</v>
      </c>
      <c r="M7" s="151" t="s">
        <v>125</v>
      </c>
      <c r="N7" s="151" t="s">
        <v>126</v>
      </c>
      <c r="O7" s="152" t="s">
        <v>127</v>
      </c>
      <c r="P7" s="152" t="s">
        <v>128</v>
      </c>
      <c r="Q7" s="151" t="s">
        <v>204</v>
      </c>
    </row>
    <row r="8" spans="1:17" ht="25" customHeight="1">
      <c r="A8" s="157" t="s">
        <v>5</v>
      </c>
      <c r="B8" s="157" t="s">
        <v>292</v>
      </c>
      <c r="C8" s="158"/>
      <c r="D8" s="158"/>
      <c r="E8" s="158"/>
      <c r="F8" s="243"/>
      <c r="G8" s="158"/>
      <c r="H8" s="158"/>
      <c r="I8" s="158"/>
      <c r="J8" s="158"/>
      <c r="K8" s="157"/>
      <c r="L8" s="157"/>
      <c r="M8" s="157"/>
      <c r="N8" s="157"/>
      <c r="O8" s="157"/>
      <c r="P8" s="157"/>
      <c r="Q8" s="157"/>
    </row>
    <row r="9" spans="1:17" ht="25" customHeight="1">
      <c r="A9" s="168" t="s">
        <v>6</v>
      </c>
      <c r="B9" s="168" t="s">
        <v>575</v>
      </c>
      <c r="C9" s="169"/>
      <c r="D9" s="169"/>
      <c r="E9" s="169"/>
      <c r="F9" s="244"/>
      <c r="G9" s="169"/>
      <c r="H9" s="169"/>
      <c r="I9" s="169"/>
      <c r="J9" s="169"/>
      <c r="K9" s="168"/>
      <c r="L9" s="168"/>
      <c r="M9" s="168"/>
      <c r="N9" s="168"/>
      <c r="O9" s="168"/>
      <c r="P9" s="168"/>
      <c r="Q9" s="168"/>
    </row>
    <row r="10" spans="1:17" ht="25" customHeight="1">
      <c r="A10" s="168">
        <v>1</v>
      </c>
      <c r="B10" s="168" t="s">
        <v>4</v>
      </c>
      <c r="C10" s="169"/>
      <c r="D10" s="169"/>
      <c r="E10" s="169"/>
      <c r="F10" s="244"/>
      <c r="G10" s="169"/>
      <c r="H10" s="169"/>
      <c r="I10" s="169"/>
      <c r="J10" s="169"/>
      <c r="K10" s="168"/>
      <c r="L10" s="168"/>
      <c r="M10" s="168"/>
      <c r="N10" s="168"/>
      <c r="O10" s="168"/>
      <c r="P10" s="168"/>
      <c r="Q10" s="168"/>
    </row>
    <row r="11" spans="1:17" s="50" customFormat="1" ht="25" customHeight="1">
      <c r="A11" s="170" t="s">
        <v>145</v>
      </c>
      <c r="B11" s="171" t="s">
        <v>159</v>
      </c>
      <c r="C11" s="172"/>
      <c r="D11" s="172"/>
      <c r="E11" s="172"/>
      <c r="F11" s="268"/>
      <c r="G11" s="172"/>
      <c r="H11" s="172"/>
      <c r="I11" s="173"/>
      <c r="J11" s="173"/>
      <c r="K11" s="173"/>
      <c r="L11" s="173"/>
      <c r="M11" s="173"/>
      <c r="N11" s="173"/>
      <c r="O11" s="173"/>
      <c r="P11" s="173"/>
      <c r="Q11" s="174"/>
    </row>
    <row r="12" spans="1:17" s="50" customFormat="1" ht="25" customHeight="1">
      <c r="A12" s="269" t="s">
        <v>224</v>
      </c>
      <c r="B12" s="296" t="s">
        <v>248</v>
      </c>
      <c r="C12" s="272">
        <v>2</v>
      </c>
      <c r="D12" s="297">
        <v>1</v>
      </c>
      <c r="E12" s="272">
        <v>1</v>
      </c>
      <c r="F12" s="180">
        <f>I12+J12+K12</f>
        <v>33</v>
      </c>
      <c r="G12" s="268">
        <v>40</v>
      </c>
      <c r="H12" s="268">
        <f>C12*D12*E12*G12</f>
        <v>80</v>
      </c>
      <c r="I12" s="177">
        <f>IF(G12&lt;70, C12*E12*16.5*1, C12*E12*16.5*1.3)</f>
        <v>33</v>
      </c>
      <c r="J12" s="173"/>
      <c r="K12" s="173"/>
      <c r="L12" s="173"/>
      <c r="M12" s="173"/>
      <c r="N12" s="173"/>
      <c r="O12" s="173"/>
      <c r="P12" s="173"/>
      <c r="Q12" s="174"/>
    </row>
    <row r="13" spans="1:17" s="50" customFormat="1" ht="25" customHeight="1">
      <c r="A13" s="269" t="s">
        <v>225</v>
      </c>
      <c r="B13" s="296" t="s">
        <v>619</v>
      </c>
      <c r="C13" s="272">
        <v>1</v>
      </c>
      <c r="D13" s="272">
        <v>1.4</v>
      </c>
      <c r="E13" s="272">
        <v>14</v>
      </c>
      <c r="F13" s="180">
        <f>I13+J13+K13</f>
        <v>231</v>
      </c>
      <c r="G13" s="268">
        <v>20</v>
      </c>
      <c r="H13" s="268">
        <f t="shared" ref="H13:H44" si="0">C13*D13*E13*G13</f>
        <v>391.99999999999994</v>
      </c>
      <c r="I13" s="177">
        <f t="shared" ref="I13:I45" si="1">IF(G13&lt;70, C13*E13*16.5*1, C13*E13*16.5*1.3)</f>
        <v>231</v>
      </c>
      <c r="J13" s="173"/>
      <c r="K13" s="173"/>
      <c r="L13" s="173"/>
      <c r="M13" s="173"/>
      <c r="N13" s="173"/>
      <c r="O13" s="173"/>
      <c r="P13" s="173"/>
      <c r="Q13" s="174"/>
    </row>
    <row r="14" spans="1:17" s="50" customFormat="1" ht="25" customHeight="1">
      <c r="A14" s="269" t="s">
        <v>226</v>
      </c>
      <c r="B14" s="296" t="s">
        <v>249</v>
      </c>
      <c r="C14" s="272">
        <v>2</v>
      </c>
      <c r="D14" s="272">
        <v>1</v>
      </c>
      <c r="E14" s="272">
        <v>1</v>
      </c>
      <c r="F14" s="180">
        <f t="shared" ref="F14:F46" si="2">I14+J14+K14</f>
        <v>42.9</v>
      </c>
      <c r="G14" s="268">
        <v>80</v>
      </c>
      <c r="H14" s="268">
        <f t="shared" si="0"/>
        <v>160</v>
      </c>
      <c r="I14" s="177">
        <f t="shared" si="1"/>
        <v>42.9</v>
      </c>
      <c r="J14" s="173"/>
      <c r="K14" s="173"/>
      <c r="L14" s="173"/>
      <c r="M14" s="173"/>
      <c r="N14" s="173"/>
      <c r="O14" s="173"/>
      <c r="P14" s="173"/>
      <c r="Q14" s="174"/>
    </row>
    <row r="15" spans="1:17" s="50" customFormat="1" ht="25" customHeight="1">
      <c r="A15" s="269" t="s">
        <v>227</v>
      </c>
      <c r="B15" s="296" t="s">
        <v>620</v>
      </c>
      <c r="C15" s="272">
        <v>2</v>
      </c>
      <c r="D15" s="272">
        <v>1</v>
      </c>
      <c r="E15" s="272">
        <v>3</v>
      </c>
      <c r="F15" s="180">
        <f t="shared" si="2"/>
        <v>128.70000000000002</v>
      </c>
      <c r="G15" s="268">
        <v>70</v>
      </c>
      <c r="H15" s="268">
        <f t="shared" si="0"/>
        <v>420</v>
      </c>
      <c r="I15" s="177">
        <f t="shared" si="1"/>
        <v>128.70000000000002</v>
      </c>
      <c r="J15" s="173"/>
      <c r="K15" s="173"/>
      <c r="L15" s="173"/>
      <c r="M15" s="173"/>
      <c r="N15" s="173"/>
      <c r="O15" s="173"/>
      <c r="P15" s="173"/>
      <c r="Q15" s="174"/>
    </row>
    <row r="16" spans="1:17" s="50" customFormat="1" ht="25" customHeight="1">
      <c r="A16" s="269" t="s">
        <v>228</v>
      </c>
      <c r="B16" s="298" t="s">
        <v>621</v>
      </c>
      <c r="C16" s="272">
        <v>2</v>
      </c>
      <c r="D16" s="272">
        <v>1</v>
      </c>
      <c r="E16" s="272">
        <v>3</v>
      </c>
      <c r="F16" s="180">
        <f t="shared" si="2"/>
        <v>128.70000000000002</v>
      </c>
      <c r="G16" s="268">
        <v>70</v>
      </c>
      <c r="H16" s="268">
        <f t="shared" si="0"/>
        <v>420</v>
      </c>
      <c r="I16" s="177">
        <f t="shared" si="1"/>
        <v>128.70000000000002</v>
      </c>
      <c r="J16" s="173"/>
      <c r="K16" s="173"/>
      <c r="L16" s="173"/>
      <c r="M16" s="173"/>
      <c r="N16" s="173"/>
      <c r="O16" s="173"/>
      <c r="P16" s="173"/>
      <c r="Q16" s="174"/>
    </row>
    <row r="17" spans="1:17" s="50" customFormat="1" ht="25" customHeight="1">
      <c r="A17" s="269" t="s">
        <v>229</v>
      </c>
      <c r="B17" s="296" t="s">
        <v>257</v>
      </c>
      <c r="C17" s="272">
        <v>5</v>
      </c>
      <c r="D17" s="272">
        <v>1</v>
      </c>
      <c r="E17" s="272">
        <v>4</v>
      </c>
      <c r="F17" s="180">
        <f t="shared" si="2"/>
        <v>429</v>
      </c>
      <c r="G17" s="268">
        <v>70</v>
      </c>
      <c r="H17" s="268">
        <f t="shared" si="0"/>
        <v>1400</v>
      </c>
      <c r="I17" s="177">
        <f t="shared" si="1"/>
        <v>429</v>
      </c>
      <c r="J17" s="173"/>
      <c r="K17" s="173"/>
      <c r="L17" s="173"/>
      <c r="M17" s="173"/>
      <c r="N17" s="173"/>
      <c r="O17" s="173"/>
      <c r="P17" s="173"/>
      <c r="Q17" s="174"/>
    </row>
    <row r="18" spans="1:17" s="50" customFormat="1" ht="25" customHeight="1">
      <c r="A18" s="269" t="s">
        <v>280</v>
      </c>
      <c r="B18" s="296" t="s">
        <v>247</v>
      </c>
      <c r="C18" s="271">
        <v>2</v>
      </c>
      <c r="D18" s="297">
        <v>1</v>
      </c>
      <c r="E18" s="271">
        <v>1</v>
      </c>
      <c r="F18" s="180">
        <f t="shared" si="2"/>
        <v>33</v>
      </c>
      <c r="G18" s="177">
        <v>40</v>
      </c>
      <c r="H18" s="268">
        <f t="shared" si="0"/>
        <v>80</v>
      </c>
      <c r="I18" s="177">
        <f t="shared" si="1"/>
        <v>33</v>
      </c>
      <c r="J18" s="173"/>
      <c r="K18" s="173"/>
      <c r="L18" s="173"/>
      <c r="M18" s="173"/>
      <c r="N18" s="173"/>
      <c r="O18" s="173"/>
      <c r="P18" s="173"/>
      <c r="Q18" s="174"/>
    </row>
    <row r="19" spans="1:17" s="50" customFormat="1" ht="25" customHeight="1">
      <c r="A19" s="269" t="s">
        <v>281</v>
      </c>
      <c r="B19" s="298" t="s">
        <v>622</v>
      </c>
      <c r="C19" s="272">
        <v>2</v>
      </c>
      <c r="D19" s="272">
        <v>1</v>
      </c>
      <c r="E19" s="272">
        <v>2</v>
      </c>
      <c r="F19" s="180">
        <f t="shared" si="2"/>
        <v>85.8</v>
      </c>
      <c r="G19" s="268">
        <v>80</v>
      </c>
      <c r="H19" s="268">
        <f t="shared" si="0"/>
        <v>320</v>
      </c>
      <c r="I19" s="177">
        <f t="shared" si="1"/>
        <v>85.8</v>
      </c>
      <c r="J19" s="173"/>
      <c r="K19" s="173"/>
      <c r="L19" s="173"/>
      <c r="M19" s="173"/>
      <c r="N19" s="173"/>
      <c r="O19" s="173"/>
      <c r="P19" s="173"/>
      <c r="Q19" s="174"/>
    </row>
    <row r="20" spans="1:17" s="50" customFormat="1" ht="25" customHeight="1">
      <c r="A20" s="269" t="s">
        <v>282</v>
      </c>
      <c r="B20" s="296" t="s">
        <v>623</v>
      </c>
      <c r="C20" s="272">
        <v>1</v>
      </c>
      <c r="D20" s="272">
        <v>1.4</v>
      </c>
      <c r="E20" s="272">
        <v>6</v>
      </c>
      <c r="F20" s="180">
        <f t="shared" si="2"/>
        <v>99</v>
      </c>
      <c r="G20" s="268">
        <v>20</v>
      </c>
      <c r="H20" s="268">
        <f t="shared" si="0"/>
        <v>167.99999999999997</v>
      </c>
      <c r="I20" s="177">
        <f t="shared" si="1"/>
        <v>99</v>
      </c>
      <c r="J20" s="173"/>
      <c r="K20" s="173"/>
      <c r="L20" s="173"/>
      <c r="M20" s="173"/>
      <c r="N20" s="173"/>
      <c r="O20" s="173"/>
      <c r="P20" s="173"/>
      <c r="Q20" s="174"/>
    </row>
    <row r="21" spans="1:17" s="50" customFormat="1" ht="25" customHeight="1">
      <c r="A21" s="269" t="s">
        <v>283</v>
      </c>
      <c r="B21" s="296" t="s">
        <v>624</v>
      </c>
      <c r="C21" s="272">
        <v>3</v>
      </c>
      <c r="D21" s="272">
        <v>1</v>
      </c>
      <c r="E21" s="272">
        <v>2</v>
      </c>
      <c r="F21" s="180">
        <f t="shared" si="2"/>
        <v>128.70000000000002</v>
      </c>
      <c r="G21" s="268">
        <v>80</v>
      </c>
      <c r="H21" s="268">
        <f t="shared" si="0"/>
        <v>480</v>
      </c>
      <c r="I21" s="177">
        <f t="shared" si="1"/>
        <v>128.70000000000002</v>
      </c>
      <c r="J21" s="178"/>
      <c r="K21" s="178"/>
      <c r="L21" s="178"/>
      <c r="M21" s="178"/>
      <c r="N21" s="178"/>
      <c r="O21" s="178"/>
      <c r="P21" s="178"/>
      <c r="Q21" s="179"/>
    </row>
    <row r="22" spans="1:17" s="50" customFormat="1" ht="25" customHeight="1">
      <c r="A22" s="269" t="s">
        <v>284</v>
      </c>
      <c r="B22" s="296" t="s">
        <v>250</v>
      </c>
      <c r="C22" s="272">
        <v>2</v>
      </c>
      <c r="D22" s="272">
        <v>1</v>
      </c>
      <c r="E22" s="272">
        <v>1</v>
      </c>
      <c r="F22" s="180">
        <f t="shared" si="2"/>
        <v>33</v>
      </c>
      <c r="G22" s="268">
        <v>40</v>
      </c>
      <c r="H22" s="268">
        <f t="shared" si="0"/>
        <v>80</v>
      </c>
      <c r="I22" s="177">
        <f t="shared" si="1"/>
        <v>33</v>
      </c>
      <c r="J22" s="178"/>
      <c r="K22" s="178"/>
      <c r="L22" s="178"/>
      <c r="M22" s="178"/>
      <c r="N22" s="178"/>
      <c r="O22" s="178"/>
      <c r="P22" s="178"/>
      <c r="Q22" s="179"/>
    </row>
    <row r="23" spans="1:17" s="50" customFormat="1" ht="25" customHeight="1">
      <c r="A23" s="269" t="s">
        <v>287</v>
      </c>
      <c r="B23" s="296" t="s">
        <v>251</v>
      </c>
      <c r="C23" s="272">
        <v>2</v>
      </c>
      <c r="D23" s="272">
        <v>1</v>
      </c>
      <c r="E23" s="272">
        <v>1</v>
      </c>
      <c r="F23" s="180">
        <f t="shared" si="2"/>
        <v>33</v>
      </c>
      <c r="G23" s="268">
        <v>40</v>
      </c>
      <c r="H23" s="268">
        <f t="shared" si="0"/>
        <v>80</v>
      </c>
      <c r="I23" s="177">
        <f t="shared" si="1"/>
        <v>33</v>
      </c>
      <c r="J23" s="178"/>
      <c r="K23" s="178"/>
      <c r="L23" s="178"/>
      <c r="M23" s="178"/>
      <c r="N23" s="178"/>
      <c r="O23" s="178"/>
      <c r="P23" s="178"/>
      <c r="Q23" s="179"/>
    </row>
    <row r="24" spans="1:17" s="50" customFormat="1" ht="25" customHeight="1">
      <c r="A24" s="269" t="s">
        <v>288</v>
      </c>
      <c r="B24" s="296" t="s">
        <v>252</v>
      </c>
      <c r="C24" s="272">
        <v>4</v>
      </c>
      <c r="D24" s="272">
        <v>1.4</v>
      </c>
      <c r="E24" s="272">
        <v>6</v>
      </c>
      <c r="F24" s="180">
        <f t="shared" si="2"/>
        <v>240</v>
      </c>
      <c r="G24" s="268">
        <v>20</v>
      </c>
      <c r="H24" s="268">
        <f t="shared" si="0"/>
        <v>671.99999999999989</v>
      </c>
      <c r="I24" s="177">
        <f>E24*G24*2</f>
        <v>240</v>
      </c>
      <c r="J24" s="178"/>
      <c r="K24" s="178"/>
      <c r="L24" s="178"/>
      <c r="M24" s="178"/>
      <c r="N24" s="178"/>
      <c r="O24" s="178"/>
      <c r="P24" s="178"/>
      <c r="Q24" s="179"/>
    </row>
    <row r="25" spans="1:17" s="50" customFormat="1" ht="25" customHeight="1">
      <c r="A25" s="269" t="s">
        <v>289</v>
      </c>
      <c r="B25" s="296" t="s">
        <v>253</v>
      </c>
      <c r="C25" s="272">
        <v>3</v>
      </c>
      <c r="D25" s="272">
        <v>1.3</v>
      </c>
      <c r="E25" s="272">
        <v>7</v>
      </c>
      <c r="F25" s="180">
        <f t="shared" si="2"/>
        <v>346.5</v>
      </c>
      <c r="G25" s="268">
        <v>20</v>
      </c>
      <c r="H25" s="268">
        <f t="shared" si="0"/>
        <v>546.00000000000011</v>
      </c>
      <c r="I25" s="177">
        <f t="shared" si="1"/>
        <v>346.5</v>
      </c>
      <c r="J25" s="178"/>
      <c r="K25" s="178"/>
      <c r="L25" s="178"/>
      <c r="M25" s="178"/>
      <c r="N25" s="178"/>
      <c r="O25" s="178"/>
      <c r="P25" s="178"/>
      <c r="Q25" s="179"/>
    </row>
    <row r="26" spans="1:17" s="50" customFormat="1" ht="25" customHeight="1">
      <c r="A26" s="269" t="s">
        <v>290</v>
      </c>
      <c r="B26" s="296" t="s">
        <v>254</v>
      </c>
      <c r="C26" s="272">
        <v>3</v>
      </c>
      <c r="D26" s="272">
        <v>1</v>
      </c>
      <c r="E26" s="272">
        <v>2</v>
      </c>
      <c r="F26" s="180">
        <f t="shared" si="2"/>
        <v>128.70000000000002</v>
      </c>
      <c r="G26" s="268">
        <v>70</v>
      </c>
      <c r="H26" s="268">
        <f t="shared" si="0"/>
        <v>420</v>
      </c>
      <c r="I26" s="177">
        <f t="shared" si="1"/>
        <v>128.70000000000002</v>
      </c>
      <c r="J26" s="178"/>
      <c r="K26" s="178"/>
      <c r="L26" s="178"/>
      <c r="M26" s="178"/>
      <c r="N26" s="178"/>
      <c r="O26" s="178"/>
      <c r="P26" s="178"/>
      <c r="Q26" s="179"/>
    </row>
    <row r="27" spans="1:17" s="50" customFormat="1" ht="25" customHeight="1">
      <c r="A27" s="269" t="s">
        <v>389</v>
      </c>
      <c r="B27" s="299" t="s">
        <v>625</v>
      </c>
      <c r="C27" s="272">
        <v>3</v>
      </c>
      <c r="D27" s="272">
        <v>1</v>
      </c>
      <c r="E27" s="272">
        <v>4</v>
      </c>
      <c r="F27" s="180">
        <f t="shared" si="2"/>
        <v>257.40000000000003</v>
      </c>
      <c r="G27" s="268">
        <v>70</v>
      </c>
      <c r="H27" s="268">
        <f t="shared" si="0"/>
        <v>840</v>
      </c>
      <c r="I27" s="177">
        <f t="shared" si="1"/>
        <v>257.40000000000003</v>
      </c>
      <c r="J27" s="178"/>
      <c r="K27" s="178"/>
      <c r="L27" s="178"/>
      <c r="M27" s="178"/>
      <c r="N27" s="178"/>
      <c r="O27" s="178"/>
      <c r="P27" s="178"/>
      <c r="Q27" s="179"/>
    </row>
    <row r="28" spans="1:17" s="50" customFormat="1" ht="25" customHeight="1">
      <c r="A28" s="269" t="s">
        <v>390</v>
      </c>
      <c r="B28" s="296" t="s">
        <v>626</v>
      </c>
      <c r="C28" s="272">
        <v>5</v>
      </c>
      <c r="D28" s="272">
        <v>1.4</v>
      </c>
      <c r="E28" s="272">
        <v>6</v>
      </c>
      <c r="F28" s="180">
        <f t="shared" si="2"/>
        <v>495</v>
      </c>
      <c r="G28" s="268">
        <v>45</v>
      </c>
      <c r="H28" s="268">
        <f t="shared" si="0"/>
        <v>1890</v>
      </c>
      <c r="I28" s="177">
        <f t="shared" si="1"/>
        <v>495</v>
      </c>
      <c r="J28" s="178"/>
      <c r="K28" s="178"/>
      <c r="L28" s="178"/>
      <c r="M28" s="178"/>
      <c r="N28" s="178"/>
      <c r="O28" s="178"/>
      <c r="P28" s="178"/>
      <c r="Q28" s="179"/>
    </row>
    <row r="29" spans="1:17" s="50" customFormat="1" ht="25" customHeight="1">
      <c r="A29" s="269" t="s">
        <v>391</v>
      </c>
      <c r="B29" s="296" t="s">
        <v>258</v>
      </c>
      <c r="C29" s="272">
        <v>2</v>
      </c>
      <c r="D29" s="272">
        <v>1</v>
      </c>
      <c r="E29" s="272">
        <v>4</v>
      </c>
      <c r="F29" s="180">
        <f t="shared" si="2"/>
        <v>132</v>
      </c>
      <c r="G29" s="268">
        <v>40</v>
      </c>
      <c r="H29" s="268">
        <f t="shared" si="0"/>
        <v>320</v>
      </c>
      <c r="I29" s="177">
        <f t="shared" si="1"/>
        <v>132</v>
      </c>
      <c r="J29" s="178"/>
      <c r="K29" s="178"/>
      <c r="L29" s="178"/>
      <c r="M29" s="178"/>
      <c r="N29" s="178"/>
      <c r="O29" s="178"/>
      <c r="P29" s="178"/>
      <c r="Q29" s="179"/>
    </row>
    <row r="30" spans="1:17" s="50" customFormat="1" ht="25" customHeight="1">
      <c r="A30" s="269" t="s">
        <v>392</v>
      </c>
      <c r="B30" s="296" t="s">
        <v>627</v>
      </c>
      <c r="C30" s="272">
        <v>2</v>
      </c>
      <c r="D30" s="272">
        <v>1</v>
      </c>
      <c r="E30" s="272">
        <v>2</v>
      </c>
      <c r="F30" s="180">
        <f t="shared" si="2"/>
        <v>66</v>
      </c>
      <c r="G30" s="268">
        <v>65</v>
      </c>
      <c r="H30" s="268">
        <f t="shared" si="0"/>
        <v>260</v>
      </c>
      <c r="I30" s="177">
        <f t="shared" si="1"/>
        <v>66</v>
      </c>
      <c r="J30" s="178"/>
      <c r="K30" s="178"/>
      <c r="L30" s="178"/>
      <c r="M30" s="178"/>
      <c r="N30" s="178"/>
      <c r="O30" s="178"/>
      <c r="P30" s="178"/>
      <c r="Q30" s="179"/>
    </row>
    <row r="31" spans="1:17" s="50" customFormat="1" ht="25" customHeight="1">
      <c r="A31" s="269" t="s">
        <v>393</v>
      </c>
      <c r="B31" s="296" t="s">
        <v>628</v>
      </c>
      <c r="C31" s="272">
        <v>4</v>
      </c>
      <c r="D31" s="272">
        <v>1</v>
      </c>
      <c r="E31" s="272">
        <v>2</v>
      </c>
      <c r="F31" s="180">
        <f t="shared" si="2"/>
        <v>171.6</v>
      </c>
      <c r="G31" s="268">
        <v>70</v>
      </c>
      <c r="H31" s="268">
        <f t="shared" si="0"/>
        <v>560</v>
      </c>
      <c r="I31" s="177">
        <f t="shared" si="1"/>
        <v>171.6</v>
      </c>
      <c r="J31" s="178"/>
      <c r="K31" s="178"/>
      <c r="L31" s="178"/>
      <c r="M31" s="178"/>
      <c r="N31" s="178"/>
      <c r="O31" s="178"/>
      <c r="P31" s="178"/>
      <c r="Q31" s="179"/>
    </row>
    <row r="32" spans="1:17" s="50" customFormat="1" ht="25" customHeight="1">
      <c r="A32" s="269" t="s">
        <v>394</v>
      </c>
      <c r="B32" s="296" t="s">
        <v>629</v>
      </c>
      <c r="C32" s="272">
        <v>2</v>
      </c>
      <c r="D32" s="272">
        <v>1.08</v>
      </c>
      <c r="E32" s="272">
        <v>4</v>
      </c>
      <c r="F32" s="180">
        <f t="shared" si="2"/>
        <v>132</v>
      </c>
      <c r="G32" s="268">
        <v>50</v>
      </c>
      <c r="H32" s="268">
        <f t="shared" si="0"/>
        <v>432</v>
      </c>
      <c r="I32" s="177">
        <f t="shared" si="1"/>
        <v>132</v>
      </c>
      <c r="J32" s="178"/>
      <c r="K32" s="178"/>
      <c r="L32" s="178"/>
      <c r="M32" s="178"/>
      <c r="N32" s="178"/>
      <c r="O32" s="178"/>
      <c r="P32" s="178"/>
      <c r="Q32" s="179"/>
    </row>
    <row r="33" spans="1:17" s="50" customFormat="1" ht="25" customHeight="1">
      <c r="A33" s="269" t="s">
        <v>395</v>
      </c>
      <c r="B33" s="300" t="s">
        <v>260</v>
      </c>
      <c r="C33" s="301">
        <v>4</v>
      </c>
      <c r="D33" s="272">
        <v>1.08</v>
      </c>
      <c r="E33" s="302">
        <v>2</v>
      </c>
      <c r="F33" s="180">
        <f t="shared" si="2"/>
        <v>171.6</v>
      </c>
      <c r="G33" s="181">
        <v>70</v>
      </c>
      <c r="H33" s="268">
        <f t="shared" si="0"/>
        <v>604.80000000000007</v>
      </c>
      <c r="I33" s="177">
        <f t="shared" si="1"/>
        <v>171.6</v>
      </c>
      <c r="J33" s="178"/>
      <c r="K33" s="178"/>
      <c r="L33" s="178"/>
      <c r="M33" s="178"/>
      <c r="N33" s="178"/>
      <c r="O33" s="178"/>
      <c r="P33" s="178"/>
      <c r="Q33" s="179"/>
    </row>
    <row r="34" spans="1:17" s="50" customFormat="1" ht="25" customHeight="1">
      <c r="A34" s="269" t="s">
        <v>396</v>
      </c>
      <c r="B34" s="303" t="s">
        <v>630</v>
      </c>
      <c r="C34" s="272">
        <v>3</v>
      </c>
      <c r="D34" s="272">
        <v>1</v>
      </c>
      <c r="E34" s="272">
        <v>2</v>
      </c>
      <c r="F34" s="180">
        <f t="shared" si="2"/>
        <v>128.70000000000002</v>
      </c>
      <c r="G34" s="268">
        <v>80</v>
      </c>
      <c r="H34" s="268">
        <f t="shared" si="0"/>
        <v>480</v>
      </c>
      <c r="I34" s="177">
        <f t="shared" si="1"/>
        <v>128.70000000000002</v>
      </c>
      <c r="J34" s="178"/>
      <c r="K34" s="178"/>
      <c r="L34" s="178"/>
      <c r="M34" s="178"/>
      <c r="N34" s="178"/>
      <c r="O34" s="178"/>
      <c r="P34" s="178"/>
      <c r="Q34" s="179"/>
    </row>
    <row r="35" spans="1:17" s="50" customFormat="1" ht="25" customHeight="1">
      <c r="A35" s="269" t="s">
        <v>397</v>
      </c>
      <c r="B35" s="296" t="s">
        <v>631</v>
      </c>
      <c r="C35" s="272">
        <v>3</v>
      </c>
      <c r="D35" s="272">
        <v>1</v>
      </c>
      <c r="E35" s="272">
        <v>2</v>
      </c>
      <c r="F35" s="180">
        <f t="shared" si="2"/>
        <v>128.70000000000002</v>
      </c>
      <c r="G35" s="268">
        <v>70</v>
      </c>
      <c r="H35" s="268">
        <f t="shared" si="0"/>
        <v>420</v>
      </c>
      <c r="I35" s="177">
        <f t="shared" si="1"/>
        <v>128.70000000000002</v>
      </c>
      <c r="J35" s="178"/>
      <c r="K35" s="178"/>
      <c r="L35" s="178"/>
      <c r="M35" s="178"/>
      <c r="N35" s="178"/>
      <c r="O35" s="178"/>
      <c r="P35" s="178"/>
      <c r="Q35" s="179"/>
    </row>
    <row r="36" spans="1:17" s="50" customFormat="1" ht="25" customHeight="1">
      <c r="A36" s="269" t="s">
        <v>398</v>
      </c>
      <c r="B36" s="296" t="s">
        <v>262</v>
      </c>
      <c r="C36" s="272">
        <v>3</v>
      </c>
      <c r="D36" s="272">
        <v>1</v>
      </c>
      <c r="E36" s="272">
        <v>1</v>
      </c>
      <c r="F36" s="180">
        <f t="shared" si="2"/>
        <v>49.5</v>
      </c>
      <c r="G36" s="268">
        <v>21</v>
      </c>
      <c r="H36" s="268">
        <f t="shared" si="0"/>
        <v>63</v>
      </c>
      <c r="I36" s="177">
        <f t="shared" si="1"/>
        <v>49.5</v>
      </c>
      <c r="J36" s="178"/>
      <c r="K36" s="178"/>
      <c r="L36" s="178"/>
      <c r="M36" s="178"/>
      <c r="N36" s="178"/>
      <c r="O36" s="178"/>
      <c r="P36" s="178"/>
      <c r="Q36" s="179"/>
    </row>
    <row r="37" spans="1:17" s="50" customFormat="1" ht="25" customHeight="1">
      <c r="A37" s="269" t="s">
        <v>399</v>
      </c>
      <c r="B37" s="296" t="s">
        <v>632</v>
      </c>
      <c r="C37" s="272">
        <v>4</v>
      </c>
      <c r="D37" s="272">
        <v>1</v>
      </c>
      <c r="E37" s="272">
        <v>5</v>
      </c>
      <c r="F37" s="180">
        <f t="shared" si="2"/>
        <v>429</v>
      </c>
      <c r="G37" s="268">
        <v>70</v>
      </c>
      <c r="H37" s="268">
        <f t="shared" si="0"/>
        <v>1400</v>
      </c>
      <c r="I37" s="177">
        <f t="shared" si="1"/>
        <v>429</v>
      </c>
      <c r="J37" s="178"/>
      <c r="K37" s="178"/>
      <c r="L37" s="178"/>
      <c r="M37" s="178"/>
      <c r="N37" s="178"/>
      <c r="O37" s="178"/>
      <c r="P37" s="178"/>
      <c r="Q37" s="179"/>
    </row>
    <row r="38" spans="1:17" s="50" customFormat="1" ht="25" customHeight="1">
      <c r="A38" s="269" t="s">
        <v>400</v>
      </c>
      <c r="B38" s="296" t="s">
        <v>626</v>
      </c>
      <c r="C38" s="272">
        <v>2</v>
      </c>
      <c r="D38" s="272">
        <v>1.4</v>
      </c>
      <c r="E38" s="272">
        <v>6</v>
      </c>
      <c r="F38" s="180">
        <f t="shared" si="2"/>
        <v>90</v>
      </c>
      <c r="G38" s="268">
        <v>20</v>
      </c>
      <c r="H38" s="268">
        <f t="shared" si="0"/>
        <v>335.99999999999994</v>
      </c>
      <c r="I38" s="177">
        <f>E38*15</f>
        <v>90</v>
      </c>
      <c r="J38" s="178"/>
      <c r="K38" s="178"/>
      <c r="L38" s="178"/>
      <c r="M38" s="178"/>
      <c r="N38" s="178"/>
      <c r="O38" s="178"/>
      <c r="P38" s="178"/>
      <c r="Q38" s="179"/>
    </row>
    <row r="39" spans="1:17" s="50" customFormat="1" ht="25" customHeight="1">
      <c r="A39" s="269" t="s">
        <v>401</v>
      </c>
      <c r="B39" s="296" t="s">
        <v>263</v>
      </c>
      <c r="C39" s="272">
        <v>3</v>
      </c>
      <c r="D39" s="272">
        <v>1</v>
      </c>
      <c r="E39" s="272">
        <v>6</v>
      </c>
      <c r="F39" s="180">
        <f t="shared" si="2"/>
        <v>297</v>
      </c>
      <c r="G39" s="268">
        <v>50</v>
      </c>
      <c r="H39" s="268">
        <f t="shared" si="0"/>
        <v>900</v>
      </c>
      <c r="I39" s="177">
        <f t="shared" si="1"/>
        <v>297</v>
      </c>
      <c r="J39" s="178"/>
      <c r="K39" s="178"/>
      <c r="L39" s="178"/>
      <c r="M39" s="178"/>
      <c r="N39" s="178"/>
      <c r="O39" s="178"/>
      <c r="P39" s="178"/>
      <c r="Q39" s="179"/>
    </row>
    <row r="40" spans="1:17" s="50" customFormat="1" ht="25" customHeight="1">
      <c r="A40" s="269" t="s">
        <v>402</v>
      </c>
      <c r="B40" s="296" t="s">
        <v>264</v>
      </c>
      <c r="C40" s="272">
        <v>3</v>
      </c>
      <c r="D40" s="272">
        <v>1</v>
      </c>
      <c r="E40" s="272">
        <v>3</v>
      </c>
      <c r="F40" s="180">
        <f t="shared" si="2"/>
        <v>193.05</v>
      </c>
      <c r="G40" s="268">
        <v>70</v>
      </c>
      <c r="H40" s="268">
        <f t="shared" si="0"/>
        <v>630</v>
      </c>
      <c r="I40" s="177">
        <f t="shared" si="1"/>
        <v>193.05</v>
      </c>
      <c r="J40" s="178"/>
      <c r="K40" s="178"/>
      <c r="L40" s="178"/>
      <c r="M40" s="178"/>
      <c r="N40" s="178"/>
      <c r="O40" s="178"/>
      <c r="P40" s="178"/>
      <c r="Q40" s="179"/>
    </row>
    <row r="41" spans="1:17" s="50" customFormat="1" ht="25" customHeight="1">
      <c r="A41" s="269" t="s">
        <v>403</v>
      </c>
      <c r="B41" s="296" t="s">
        <v>265</v>
      </c>
      <c r="C41" s="272">
        <v>2</v>
      </c>
      <c r="D41" s="272">
        <v>1</v>
      </c>
      <c r="E41" s="272">
        <v>1</v>
      </c>
      <c r="F41" s="180">
        <f t="shared" si="2"/>
        <v>33</v>
      </c>
      <c r="G41" s="268">
        <v>50</v>
      </c>
      <c r="H41" s="268">
        <f t="shared" si="0"/>
        <v>100</v>
      </c>
      <c r="I41" s="177">
        <f t="shared" si="1"/>
        <v>33</v>
      </c>
      <c r="J41" s="178"/>
      <c r="K41" s="178"/>
      <c r="L41" s="178"/>
      <c r="M41" s="178"/>
      <c r="N41" s="178"/>
      <c r="O41" s="178"/>
      <c r="P41" s="178"/>
      <c r="Q41" s="179"/>
    </row>
    <row r="42" spans="1:17" s="50" customFormat="1" ht="25" customHeight="1">
      <c r="A42" s="269" t="s">
        <v>404</v>
      </c>
      <c r="B42" s="296" t="s">
        <v>266</v>
      </c>
      <c r="C42" s="272">
        <v>2</v>
      </c>
      <c r="D42" s="272">
        <v>1</v>
      </c>
      <c r="E42" s="272">
        <v>1</v>
      </c>
      <c r="F42" s="180">
        <f t="shared" si="2"/>
        <v>33</v>
      </c>
      <c r="G42" s="268">
        <v>50</v>
      </c>
      <c r="H42" s="268">
        <f t="shared" si="0"/>
        <v>100</v>
      </c>
      <c r="I42" s="177">
        <f t="shared" si="1"/>
        <v>33</v>
      </c>
      <c r="J42" s="178"/>
      <c r="K42" s="178"/>
      <c r="L42" s="178"/>
      <c r="M42" s="178"/>
      <c r="N42" s="178"/>
      <c r="O42" s="178"/>
      <c r="P42" s="178"/>
      <c r="Q42" s="179"/>
    </row>
    <row r="43" spans="1:17" s="50" customFormat="1" ht="25" customHeight="1">
      <c r="A43" s="269" t="s">
        <v>405</v>
      </c>
      <c r="B43" s="300" t="s">
        <v>633</v>
      </c>
      <c r="C43" s="272">
        <v>2</v>
      </c>
      <c r="D43" s="272">
        <v>1</v>
      </c>
      <c r="E43" s="272">
        <v>5</v>
      </c>
      <c r="F43" s="180">
        <f t="shared" si="2"/>
        <v>165</v>
      </c>
      <c r="G43" s="268">
        <v>50</v>
      </c>
      <c r="H43" s="268">
        <f t="shared" si="0"/>
        <v>500</v>
      </c>
      <c r="I43" s="177">
        <f t="shared" si="1"/>
        <v>165</v>
      </c>
      <c r="J43" s="178"/>
      <c r="K43" s="178"/>
      <c r="L43" s="178"/>
      <c r="M43" s="178"/>
      <c r="N43" s="178"/>
      <c r="O43" s="178"/>
      <c r="P43" s="178"/>
      <c r="Q43" s="179"/>
    </row>
    <row r="44" spans="1:17" s="50" customFormat="1" ht="25" customHeight="1">
      <c r="A44" s="269" t="s">
        <v>634</v>
      </c>
      <c r="B44" s="304" t="s">
        <v>635</v>
      </c>
      <c r="C44" s="305">
        <v>3</v>
      </c>
      <c r="D44" s="272">
        <v>1</v>
      </c>
      <c r="E44" s="272">
        <v>4</v>
      </c>
      <c r="F44" s="180">
        <f t="shared" si="2"/>
        <v>198</v>
      </c>
      <c r="G44" s="182">
        <v>40</v>
      </c>
      <c r="H44" s="268">
        <f t="shared" si="0"/>
        <v>480</v>
      </c>
      <c r="I44" s="177">
        <f t="shared" si="1"/>
        <v>198</v>
      </c>
      <c r="J44" s="178"/>
      <c r="K44" s="178"/>
      <c r="L44" s="178"/>
      <c r="M44" s="178"/>
      <c r="N44" s="178"/>
      <c r="O44" s="178"/>
      <c r="P44" s="178"/>
      <c r="Q44" s="179"/>
    </row>
    <row r="45" spans="1:17" s="50" customFormat="1" ht="25" customHeight="1">
      <c r="A45" s="269" t="s">
        <v>636</v>
      </c>
      <c r="B45" s="306" t="s">
        <v>637</v>
      </c>
      <c r="C45" s="272">
        <v>5</v>
      </c>
      <c r="D45" s="272">
        <v>1</v>
      </c>
      <c r="E45" s="272">
        <v>4</v>
      </c>
      <c r="F45" s="180">
        <f t="shared" si="2"/>
        <v>330</v>
      </c>
      <c r="G45" s="268">
        <v>0</v>
      </c>
      <c r="H45" s="268">
        <v>0</v>
      </c>
      <c r="I45" s="177">
        <f t="shared" si="1"/>
        <v>330</v>
      </c>
      <c r="J45" s="178"/>
      <c r="K45" s="178"/>
      <c r="L45" s="178"/>
      <c r="M45" s="178"/>
      <c r="N45" s="178"/>
      <c r="O45" s="178"/>
      <c r="P45" s="178"/>
      <c r="Q45" s="179"/>
    </row>
    <row r="46" spans="1:17" s="50" customFormat="1" ht="25" customHeight="1">
      <c r="A46" s="269" t="s">
        <v>638</v>
      </c>
      <c r="B46" s="306" t="s">
        <v>259</v>
      </c>
      <c r="C46" s="305">
        <v>4</v>
      </c>
      <c r="D46" s="272">
        <v>1</v>
      </c>
      <c r="E46" s="272">
        <v>4</v>
      </c>
      <c r="F46" s="180">
        <f t="shared" si="2"/>
        <v>160</v>
      </c>
      <c r="G46" s="184">
        <v>20</v>
      </c>
      <c r="H46" s="268">
        <f>C46*D46*E46*G46</f>
        <v>320</v>
      </c>
      <c r="I46" s="177">
        <f>E46*G46*2</f>
        <v>160</v>
      </c>
      <c r="J46" s="178"/>
      <c r="K46" s="178"/>
      <c r="L46" s="178"/>
      <c r="M46" s="178"/>
      <c r="N46" s="178"/>
      <c r="O46" s="178"/>
      <c r="P46" s="178"/>
      <c r="Q46" s="179"/>
    </row>
    <row r="47" spans="1:17" s="50" customFormat="1" ht="25" customHeight="1">
      <c r="A47" s="269" t="s">
        <v>639</v>
      </c>
      <c r="B47" s="307" t="s">
        <v>256</v>
      </c>
      <c r="C47" s="305">
        <v>2</v>
      </c>
      <c r="D47" s="272">
        <v>1</v>
      </c>
      <c r="E47" s="272">
        <v>2</v>
      </c>
      <c r="F47" s="268"/>
      <c r="G47" s="268"/>
      <c r="H47" s="268"/>
      <c r="I47" s="178"/>
      <c r="J47" s="178"/>
      <c r="K47" s="178"/>
      <c r="L47" s="178"/>
      <c r="M47" s="178"/>
      <c r="N47" s="178"/>
      <c r="O47" s="178"/>
      <c r="P47" s="178"/>
      <c r="Q47" s="179"/>
    </row>
    <row r="48" spans="1:17" s="50" customFormat="1" ht="25" customHeight="1">
      <c r="A48" s="269" t="s">
        <v>640</v>
      </c>
      <c r="B48" s="307" t="s">
        <v>255</v>
      </c>
      <c r="C48" s="305">
        <v>2</v>
      </c>
      <c r="D48" s="272">
        <v>1</v>
      </c>
      <c r="E48" s="272">
        <v>2</v>
      </c>
      <c r="F48" s="268">
        <f>SUM(F12:F47)</f>
        <v>5781.55</v>
      </c>
      <c r="G48" s="172">
        <f>SUM(G12:G47)</f>
        <v>1761</v>
      </c>
      <c r="H48" s="172">
        <f>SUM(H12:H47)</f>
        <v>16353.8</v>
      </c>
      <c r="I48" s="172">
        <f>SUM(I12:I47)</f>
        <v>5781.55</v>
      </c>
      <c r="J48" s="178">
        <v>0</v>
      </c>
      <c r="K48" s="178">
        <v>0</v>
      </c>
      <c r="L48" s="178"/>
      <c r="M48" s="178"/>
      <c r="N48" s="178"/>
      <c r="O48" s="178"/>
      <c r="P48" s="178"/>
      <c r="Q48" s="179"/>
    </row>
    <row r="49" spans="1:17" s="50" customFormat="1" ht="25" customHeight="1">
      <c r="A49" s="269" t="s">
        <v>641</v>
      </c>
      <c r="B49" s="308" t="s">
        <v>642</v>
      </c>
      <c r="C49" s="305">
        <v>1</v>
      </c>
      <c r="D49" s="272">
        <v>1.4</v>
      </c>
      <c r="E49" s="272">
        <v>14</v>
      </c>
      <c r="F49" s="268"/>
      <c r="G49" s="268"/>
      <c r="H49" s="268"/>
      <c r="I49" s="268"/>
      <c r="J49" s="178"/>
      <c r="K49" s="178"/>
      <c r="L49" s="178"/>
      <c r="M49" s="178"/>
      <c r="N49" s="178"/>
      <c r="O49" s="178"/>
      <c r="P49" s="178"/>
      <c r="Q49" s="179"/>
    </row>
    <row r="50" spans="1:17" s="50" customFormat="1" ht="25" customHeight="1">
      <c r="A50" s="269" t="s">
        <v>643</v>
      </c>
      <c r="B50" s="309" t="s">
        <v>408</v>
      </c>
      <c r="C50" s="310">
        <v>1</v>
      </c>
      <c r="D50" s="310">
        <v>1.4</v>
      </c>
      <c r="E50" s="310">
        <v>2</v>
      </c>
      <c r="F50" s="268"/>
      <c r="G50" s="268"/>
      <c r="H50" s="268"/>
      <c r="I50" s="268"/>
      <c r="J50" s="178">
        <v>10</v>
      </c>
      <c r="K50" s="178"/>
      <c r="L50" s="178"/>
      <c r="M50" s="178"/>
      <c r="N50" s="178"/>
      <c r="O50" s="178"/>
      <c r="P50" s="178"/>
      <c r="Q50" s="1872" t="s">
        <v>520</v>
      </c>
    </row>
    <row r="51" spans="1:17" s="50" customFormat="1" ht="25" customHeight="1">
      <c r="A51" s="311" t="s">
        <v>146</v>
      </c>
      <c r="B51" s="312" t="s">
        <v>149</v>
      </c>
      <c r="C51" s="272">
        <v>0</v>
      </c>
      <c r="D51" s="272">
        <v>0</v>
      </c>
      <c r="E51" s="272">
        <v>0</v>
      </c>
      <c r="F51" s="268"/>
      <c r="G51" s="268"/>
      <c r="H51" s="268"/>
      <c r="I51" s="268"/>
      <c r="J51" s="178">
        <v>15</v>
      </c>
      <c r="K51" s="178"/>
      <c r="L51" s="178"/>
      <c r="M51" s="178"/>
      <c r="N51" s="178"/>
      <c r="O51" s="178"/>
      <c r="P51" s="178"/>
      <c r="Q51" s="1872"/>
    </row>
    <row r="52" spans="1:17" s="50" customFormat="1" ht="25" customHeight="1">
      <c r="A52" s="313" t="s">
        <v>230</v>
      </c>
      <c r="B52" s="269" t="s">
        <v>154</v>
      </c>
      <c r="C52" s="272">
        <v>4</v>
      </c>
      <c r="D52" s="272">
        <v>1.4</v>
      </c>
      <c r="E52" s="272">
        <v>4</v>
      </c>
      <c r="F52" s="268"/>
      <c r="G52" s="268"/>
      <c r="H52" s="268"/>
      <c r="I52" s="268"/>
      <c r="J52" s="178">
        <v>5</v>
      </c>
      <c r="K52" s="178"/>
      <c r="L52" s="178"/>
      <c r="M52" s="178"/>
      <c r="N52" s="178"/>
      <c r="O52" s="178"/>
      <c r="P52" s="178"/>
      <c r="Q52" s="1872"/>
    </row>
    <row r="53" spans="1:17" s="50" customFormat="1" ht="25" customHeight="1">
      <c r="A53" s="313" t="s">
        <v>231</v>
      </c>
      <c r="B53" s="269" t="s">
        <v>155</v>
      </c>
      <c r="C53" s="272"/>
      <c r="D53" s="272"/>
      <c r="E53" s="272"/>
      <c r="F53" s="268"/>
      <c r="G53" s="268"/>
      <c r="H53" s="268"/>
      <c r="I53" s="178"/>
      <c r="J53" s="178"/>
      <c r="K53" s="178"/>
      <c r="L53" s="178"/>
      <c r="M53" s="178"/>
      <c r="N53" s="178"/>
      <c r="O53" s="178"/>
      <c r="P53" s="178"/>
      <c r="Q53" s="179"/>
    </row>
    <row r="54" spans="1:17" s="50" customFormat="1" ht="25" customHeight="1">
      <c r="A54" s="313"/>
      <c r="B54" s="314" t="s">
        <v>350</v>
      </c>
      <c r="C54" s="315">
        <f>SUM(C12:C53)</f>
        <v>107</v>
      </c>
      <c r="D54" s="315">
        <f>SUM(D12:D53)</f>
        <v>43.659999999999989</v>
      </c>
      <c r="E54" s="315">
        <f>SUM(E12:E53)</f>
        <v>146</v>
      </c>
      <c r="F54" s="268"/>
      <c r="G54" s="268"/>
      <c r="H54" s="268"/>
      <c r="I54" s="178"/>
      <c r="J54" s="178"/>
      <c r="K54" s="178"/>
      <c r="L54" s="178"/>
      <c r="M54" s="178"/>
      <c r="N54" s="178"/>
      <c r="O54" s="178"/>
      <c r="P54" s="178"/>
      <c r="Q54" s="179"/>
    </row>
    <row r="55" spans="1:17" s="50" customFormat="1" ht="25" customHeight="1">
      <c r="A55" s="311"/>
      <c r="B55" s="314" t="s">
        <v>516</v>
      </c>
      <c r="C55" s="272"/>
      <c r="D55" s="272"/>
      <c r="E55" s="272"/>
      <c r="F55" s="180">
        <f t="shared" ref="F55:F62" si="3">I55+J55+K55</f>
        <v>0</v>
      </c>
      <c r="G55" s="268">
        <v>10</v>
      </c>
      <c r="H55" s="268">
        <f t="shared" ref="H55:H60" si="4">C55*D55*E55*G55</f>
        <v>0</v>
      </c>
      <c r="I55" s="177">
        <f t="shared" ref="I55:I60" si="5">IF(G55&lt;70, C55*E55*16.5*1.5, C55*E55*16.5*1.5)</f>
        <v>0</v>
      </c>
      <c r="J55" s="178"/>
      <c r="K55" s="178"/>
      <c r="L55" s="178"/>
      <c r="M55" s="178"/>
      <c r="N55" s="178"/>
      <c r="O55" s="178"/>
      <c r="P55" s="178"/>
      <c r="Q55" s="179"/>
    </row>
    <row r="56" spans="1:17" s="50" customFormat="1" ht="25" customHeight="1">
      <c r="A56" s="313" t="s">
        <v>523</v>
      </c>
      <c r="B56" s="269" t="s">
        <v>517</v>
      </c>
      <c r="C56" s="272">
        <v>5</v>
      </c>
      <c r="D56" s="272"/>
      <c r="E56" s="272">
        <v>2</v>
      </c>
      <c r="F56" s="180">
        <f t="shared" si="3"/>
        <v>247.5</v>
      </c>
      <c r="G56" s="268">
        <v>10</v>
      </c>
      <c r="H56" s="268">
        <f t="shared" si="4"/>
        <v>0</v>
      </c>
      <c r="I56" s="177">
        <f t="shared" si="5"/>
        <v>247.5</v>
      </c>
      <c r="J56" s="178"/>
      <c r="K56" s="178"/>
      <c r="L56" s="178"/>
      <c r="M56" s="178"/>
      <c r="N56" s="178"/>
      <c r="O56" s="178"/>
      <c r="P56" s="178"/>
      <c r="Q56" s="179"/>
    </row>
    <row r="57" spans="1:17" s="50" customFormat="1" ht="25" customHeight="1">
      <c r="A57" s="313" t="s">
        <v>524</v>
      </c>
      <c r="B57" s="269" t="s">
        <v>518</v>
      </c>
      <c r="C57" s="272">
        <v>5</v>
      </c>
      <c r="D57" s="272"/>
      <c r="E57" s="272">
        <v>3</v>
      </c>
      <c r="F57" s="180">
        <f t="shared" si="3"/>
        <v>371.25</v>
      </c>
      <c r="G57" s="268">
        <v>10</v>
      </c>
      <c r="H57" s="268">
        <f t="shared" si="4"/>
        <v>0</v>
      </c>
      <c r="I57" s="177">
        <f t="shared" si="5"/>
        <v>371.25</v>
      </c>
      <c r="J57" s="178"/>
      <c r="K57" s="178"/>
      <c r="L57" s="178"/>
      <c r="M57" s="178"/>
      <c r="N57" s="178"/>
      <c r="O57" s="178"/>
      <c r="P57" s="178"/>
      <c r="Q57" s="179"/>
    </row>
    <row r="58" spans="1:17" s="50" customFormat="1" ht="25" customHeight="1">
      <c r="A58" s="313" t="s">
        <v>525</v>
      </c>
      <c r="B58" s="296" t="s">
        <v>519</v>
      </c>
      <c r="C58" s="272">
        <v>4</v>
      </c>
      <c r="D58" s="272"/>
      <c r="E58" s="272">
        <v>1</v>
      </c>
      <c r="F58" s="180">
        <f t="shared" si="3"/>
        <v>99</v>
      </c>
      <c r="G58" s="268">
        <v>10</v>
      </c>
      <c r="H58" s="268">
        <f t="shared" si="4"/>
        <v>0</v>
      </c>
      <c r="I58" s="177">
        <f t="shared" si="5"/>
        <v>99</v>
      </c>
      <c r="J58" s="178"/>
      <c r="K58" s="178"/>
      <c r="L58" s="178"/>
      <c r="M58" s="178"/>
      <c r="N58" s="178"/>
      <c r="O58" s="178"/>
      <c r="P58" s="178"/>
      <c r="Q58" s="179"/>
    </row>
    <row r="59" spans="1:17" s="50" customFormat="1" ht="25" customHeight="1">
      <c r="A59" s="316">
        <v>2</v>
      </c>
      <c r="B59" s="316" t="s">
        <v>162</v>
      </c>
      <c r="C59" s="272"/>
      <c r="D59" s="272"/>
      <c r="E59" s="272"/>
      <c r="F59" s="180">
        <f t="shared" si="3"/>
        <v>0</v>
      </c>
      <c r="G59" s="268">
        <v>10</v>
      </c>
      <c r="H59" s="268">
        <f t="shared" si="4"/>
        <v>0</v>
      </c>
      <c r="I59" s="177">
        <f t="shared" si="5"/>
        <v>0</v>
      </c>
      <c r="J59" s="178"/>
      <c r="K59" s="178"/>
      <c r="L59" s="178"/>
      <c r="M59" s="178"/>
      <c r="N59" s="178"/>
      <c r="O59" s="178"/>
      <c r="P59" s="178"/>
      <c r="Q59" s="179"/>
    </row>
    <row r="60" spans="1:17" s="50" customFormat="1" ht="25" customHeight="1">
      <c r="A60" s="317" t="s">
        <v>145</v>
      </c>
      <c r="B60" s="318" t="s">
        <v>163</v>
      </c>
      <c r="C60" s="272"/>
      <c r="D60" s="272"/>
      <c r="E60" s="272"/>
      <c r="F60" s="180">
        <f t="shared" si="3"/>
        <v>0</v>
      </c>
      <c r="G60" s="268">
        <v>15</v>
      </c>
      <c r="H60" s="268">
        <f t="shared" si="4"/>
        <v>0</v>
      </c>
      <c r="I60" s="177">
        <f t="shared" si="5"/>
        <v>0</v>
      </c>
      <c r="J60" s="178"/>
      <c r="K60" s="178"/>
      <c r="L60" s="178"/>
      <c r="M60" s="178"/>
      <c r="N60" s="178"/>
      <c r="O60" s="178"/>
      <c r="P60" s="178"/>
      <c r="Q60" s="179"/>
    </row>
    <row r="61" spans="1:17" s="50" customFormat="1" ht="25" customHeight="1">
      <c r="A61" s="269" t="s">
        <v>224</v>
      </c>
      <c r="B61" s="270" t="s">
        <v>267</v>
      </c>
      <c r="C61" s="272">
        <v>3</v>
      </c>
      <c r="D61" s="272">
        <v>1</v>
      </c>
      <c r="E61" s="272">
        <v>1</v>
      </c>
      <c r="F61" s="180">
        <f t="shared" si="3"/>
        <v>49.5</v>
      </c>
      <c r="G61" s="186"/>
      <c r="H61" s="186"/>
      <c r="I61" s="177">
        <f>IF(G61&lt;70, C61*E61*16.5*1, C61*E61*16.5*1.3)</f>
        <v>49.5</v>
      </c>
      <c r="J61" s="178"/>
      <c r="K61" s="178"/>
      <c r="L61" s="178"/>
      <c r="M61" s="178"/>
      <c r="N61" s="178"/>
      <c r="O61" s="178"/>
      <c r="P61" s="178"/>
      <c r="Q61" s="179"/>
    </row>
    <row r="62" spans="1:17" s="50" customFormat="1" ht="25" customHeight="1">
      <c r="A62" s="269" t="s">
        <v>225</v>
      </c>
      <c r="B62" s="270" t="s">
        <v>268</v>
      </c>
      <c r="C62" s="272">
        <v>3</v>
      </c>
      <c r="D62" s="272">
        <v>1</v>
      </c>
      <c r="E62" s="272">
        <v>1</v>
      </c>
      <c r="F62" s="180">
        <f t="shared" si="3"/>
        <v>385</v>
      </c>
      <c r="G62" s="186">
        <v>11</v>
      </c>
      <c r="H62" s="268">
        <f>C62*G62*D62</f>
        <v>33</v>
      </c>
      <c r="I62" s="177">
        <f>11*35</f>
        <v>385</v>
      </c>
      <c r="J62" s="178"/>
      <c r="K62" s="178"/>
      <c r="L62" s="178"/>
      <c r="M62" s="178"/>
      <c r="N62" s="178"/>
      <c r="O62" s="178"/>
      <c r="P62" s="178"/>
      <c r="Q62" s="179"/>
    </row>
    <row r="63" spans="1:17" s="50" customFormat="1" ht="25" customHeight="1">
      <c r="A63" s="269" t="s">
        <v>226</v>
      </c>
      <c r="B63" s="270" t="s">
        <v>269</v>
      </c>
      <c r="C63" s="272">
        <v>3</v>
      </c>
      <c r="D63" s="272">
        <v>1</v>
      </c>
      <c r="E63" s="272">
        <v>1</v>
      </c>
      <c r="F63" s="268">
        <f>SUM(F55:F62)</f>
        <v>1152.25</v>
      </c>
      <c r="G63" s="172">
        <f>SUM(G55:G62)</f>
        <v>76</v>
      </c>
      <c r="H63" s="172">
        <f>SUM(H55:H62)</f>
        <v>33</v>
      </c>
      <c r="I63" s="172">
        <f>SUM(I55:I62)</f>
        <v>1152.25</v>
      </c>
      <c r="J63" s="178"/>
      <c r="K63" s="178"/>
      <c r="L63" s="178"/>
      <c r="M63" s="178"/>
      <c r="N63" s="178"/>
      <c r="O63" s="178"/>
      <c r="P63" s="178"/>
      <c r="Q63" s="179"/>
    </row>
    <row r="64" spans="1:17" s="50" customFormat="1" ht="25" customHeight="1">
      <c r="A64" s="269" t="s">
        <v>227</v>
      </c>
      <c r="B64" s="270" t="s">
        <v>270</v>
      </c>
      <c r="C64" s="272">
        <v>3</v>
      </c>
      <c r="D64" s="272">
        <v>1</v>
      </c>
      <c r="E64" s="272">
        <v>1</v>
      </c>
      <c r="F64" s="268">
        <v>0</v>
      </c>
      <c r="G64" s="268">
        <v>0</v>
      </c>
      <c r="H64" s="268">
        <v>0</v>
      </c>
      <c r="I64" s="268">
        <v>0</v>
      </c>
      <c r="J64" s="178"/>
      <c r="K64" s="178"/>
      <c r="L64" s="178"/>
      <c r="M64" s="178"/>
      <c r="N64" s="178"/>
      <c r="O64" s="178"/>
      <c r="P64" s="178"/>
      <c r="Q64" s="179"/>
    </row>
    <row r="65" spans="1:17" s="50" customFormat="1" ht="25" customHeight="1">
      <c r="A65" s="269" t="s">
        <v>228</v>
      </c>
      <c r="B65" s="273" t="s">
        <v>271</v>
      </c>
      <c r="C65" s="272">
        <v>3</v>
      </c>
      <c r="D65" s="272">
        <v>1</v>
      </c>
      <c r="E65" s="272">
        <v>1</v>
      </c>
      <c r="F65" s="268"/>
      <c r="G65" s="268"/>
      <c r="H65" s="268"/>
      <c r="I65" s="178"/>
      <c r="J65" s="178"/>
      <c r="K65" s="178"/>
      <c r="L65" s="178"/>
      <c r="M65" s="178"/>
      <c r="N65" s="178"/>
      <c r="O65" s="178"/>
      <c r="P65" s="178"/>
      <c r="Q65" s="179"/>
    </row>
    <row r="66" spans="1:17" s="50" customFormat="1" ht="25" customHeight="1">
      <c r="A66" s="269" t="s">
        <v>229</v>
      </c>
      <c r="B66" s="270" t="s">
        <v>522</v>
      </c>
      <c r="C66" s="272">
        <v>3</v>
      </c>
      <c r="D66" s="272">
        <v>1</v>
      </c>
      <c r="E66" s="272">
        <v>1</v>
      </c>
      <c r="F66" s="268"/>
      <c r="G66" s="268"/>
      <c r="H66" s="268"/>
      <c r="I66" s="178"/>
      <c r="J66" s="178"/>
      <c r="K66" s="178"/>
      <c r="L66" s="178"/>
      <c r="M66" s="178"/>
      <c r="N66" s="178"/>
      <c r="O66" s="178"/>
      <c r="P66" s="178"/>
      <c r="Q66" s="179"/>
    </row>
    <row r="67" spans="1:17" s="50" customFormat="1" ht="25" customHeight="1">
      <c r="A67" s="282" t="s">
        <v>146</v>
      </c>
      <c r="B67" s="283" t="s">
        <v>465</v>
      </c>
      <c r="C67" s="276"/>
      <c r="D67" s="276"/>
      <c r="E67" s="276"/>
      <c r="F67" s="268"/>
      <c r="G67" s="268"/>
      <c r="H67" s="268"/>
      <c r="I67" s="178"/>
      <c r="J67" s="178"/>
      <c r="K67" s="178"/>
      <c r="L67" s="178"/>
      <c r="M67" s="178"/>
      <c r="N67" s="178"/>
      <c r="O67" s="178"/>
      <c r="P67" s="178"/>
      <c r="Q67" s="179"/>
    </row>
    <row r="68" spans="1:17" s="50" customFormat="1" ht="25" customHeight="1">
      <c r="A68" s="282"/>
      <c r="B68" s="275" t="s">
        <v>644</v>
      </c>
      <c r="C68" s="276">
        <v>15</v>
      </c>
      <c r="D68" s="276">
        <v>1</v>
      </c>
      <c r="E68" s="276">
        <v>1</v>
      </c>
      <c r="F68" s="180">
        <f t="shared" ref="F68:F82" si="6">I68+J68+K68</f>
        <v>247.5</v>
      </c>
      <c r="G68" s="268">
        <v>40</v>
      </c>
      <c r="H68" s="268">
        <f t="shared" ref="H68:H82" si="7">C68*D68*E68*G68</f>
        <v>600</v>
      </c>
      <c r="I68" s="177">
        <f t="shared" ref="I68:I82" si="8">IF(G68&lt;70, C68*E68*16.5*1, C68*E68*16.5*1.3)</f>
        <v>247.5</v>
      </c>
      <c r="J68" s="178"/>
      <c r="K68" s="178"/>
      <c r="L68" s="178"/>
      <c r="M68" s="178"/>
      <c r="N68" s="178"/>
      <c r="O68" s="178"/>
      <c r="P68" s="178"/>
      <c r="Q68" s="179"/>
    </row>
    <row r="69" spans="1:17" s="50" customFormat="1" ht="25" customHeight="1">
      <c r="A69" s="269"/>
      <c r="B69" s="314" t="s">
        <v>350</v>
      </c>
      <c r="C69" s="315">
        <f>SUM(C61:C68)</f>
        <v>33</v>
      </c>
      <c r="D69" s="315">
        <f>SUM(D61:D68)</f>
        <v>7</v>
      </c>
      <c r="E69" s="315">
        <f>SUM(E61:E68)</f>
        <v>7</v>
      </c>
      <c r="F69" s="180">
        <f t="shared" si="6"/>
        <v>3811.5</v>
      </c>
      <c r="G69" s="268">
        <v>40</v>
      </c>
      <c r="H69" s="268">
        <f t="shared" si="7"/>
        <v>64680</v>
      </c>
      <c r="I69" s="177">
        <f t="shared" si="8"/>
        <v>3811.5</v>
      </c>
      <c r="J69" s="178"/>
      <c r="K69" s="178"/>
      <c r="L69" s="178"/>
      <c r="M69" s="178"/>
      <c r="N69" s="178"/>
      <c r="O69" s="178"/>
      <c r="P69" s="178"/>
      <c r="Q69" s="179"/>
    </row>
    <row r="70" spans="1:17" s="50" customFormat="1" ht="25" customHeight="1">
      <c r="A70" s="316">
        <v>3</v>
      </c>
      <c r="B70" s="316" t="s">
        <v>164</v>
      </c>
      <c r="C70" s="272">
        <v>0</v>
      </c>
      <c r="D70" s="272">
        <v>0</v>
      </c>
      <c r="E70" s="272">
        <v>0</v>
      </c>
      <c r="F70" s="180">
        <f t="shared" si="6"/>
        <v>0</v>
      </c>
      <c r="G70" s="268">
        <v>40</v>
      </c>
      <c r="H70" s="268">
        <f t="shared" si="7"/>
        <v>0</v>
      </c>
      <c r="I70" s="177">
        <f t="shared" si="8"/>
        <v>0</v>
      </c>
      <c r="J70" s="178"/>
      <c r="K70" s="178"/>
      <c r="L70" s="178"/>
      <c r="M70" s="178"/>
      <c r="N70" s="178"/>
      <c r="O70" s="178"/>
      <c r="P70" s="178"/>
      <c r="Q70" s="179"/>
    </row>
    <row r="71" spans="1:17" s="50" customFormat="1" ht="25" customHeight="1">
      <c r="A71" s="316" t="s">
        <v>7</v>
      </c>
      <c r="B71" s="316" t="s">
        <v>222</v>
      </c>
      <c r="C71" s="272"/>
      <c r="D71" s="272"/>
      <c r="E71" s="272"/>
      <c r="F71" s="180">
        <f t="shared" si="6"/>
        <v>0</v>
      </c>
      <c r="G71" s="268">
        <v>40</v>
      </c>
      <c r="H71" s="268">
        <f t="shared" si="7"/>
        <v>0</v>
      </c>
      <c r="I71" s="177">
        <f t="shared" si="8"/>
        <v>0</v>
      </c>
      <c r="J71" s="178"/>
      <c r="K71" s="178"/>
      <c r="L71" s="178"/>
      <c r="M71" s="178"/>
      <c r="N71" s="178"/>
      <c r="O71" s="178"/>
      <c r="P71" s="178"/>
      <c r="Q71" s="179"/>
    </row>
    <row r="72" spans="1:17" s="50" customFormat="1" ht="25" customHeight="1">
      <c r="A72" s="316">
        <v>1</v>
      </c>
      <c r="B72" s="318" t="s">
        <v>223</v>
      </c>
      <c r="C72" s="272"/>
      <c r="D72" s="272"/>
      <c r="E72" s="272"/>
      <c r="F72" s="180">
        <f t="shared" si="6"/>
        <v>0</v>
      </c>
      <c r="G72" s="268">
        <v>40</v>
      </c>
      <c r="H72" s="268">
        <f t="shared" si="7"/>
        <v>0</v>
      </c>
      <c r="I72" s="177">
        <f t="shared" si="8"/>
        <v>0</v>
      </c>
      <c r="J72" s="178"/>
      <c r="K72" s="178"/>
      <c r="L72" s="178"/>
      <c r="M72" s="178"/>
      <c r="N72" s="178"/>
      <c r="O72" s="178"/>
      <c r="P72" s="178"/>
      <c r="Q72" s="179"/>
    </row>
    <row r="73" spans="1:17" s="50" customFormat="1" ht="25" customHeight="1">
      <c r="A73" s="316" t="s">
        <v>145</v>
      </c>
      <c r="B73" s="318" t="s">
        <v>161</v>
      </c>
      <c r="C73" s="272"/>
      <c r="D73" s="272"/>
      <c r="E73" s="272"/>
      <c r="F73" s="180">
        <f t="shared" si="6"/>
        <v>0</v>
      </c>
      <c r="G73" s="268">
        <v>40</v>
      </c>
      <c r="H73" s="268">
        <f t="shared" si="7"/>
        <v>0</v>
      </c>
      <c r="I73" s="177">
        <f t="shared" si="8"/>
        <v>0</v>
      </c>
      <c r="J73" s="178"/>
      <c r="K73" s="178"/>
      <c r="L73" s="178"/>
      <c r="M73" s="178"/>
      <c r="N73" s="178"/>
      <c r="O73" s="178"/>
      <c r="P73" s="178"/>
      <c r="Q73" s="179"/>
    </row>
    <row r="74" spans="1:17" s="50" customFormat="1" ht="25" customHeight="1">
      <c r="A74" s="313" t="s">
        <v>224</v>
      </c>
      <c r="B74" s="273" t="s">
        <v>264</v>
      </c>
      <c r="C74" s="272">
        <v>3</v>
      </c>
      <c r="D74" s="272">
        <v>1</v>
      </c>
      <c r="E74" s="272">
        <v>3</v>
      </c>
      <c r="F74" s="180">
        <f t="shared" si="6"/>
        <v>148.5</v>
      </c>
      <c r="G74" s="268">
        <v>40</v>
      </c>
      <c r="H74" s="268">
        <f t="shared" si="7"/>
        <v>360</v>
      </c>
      <c r="I74" s="177">
        <f t="shared" si="8"/>
        <v>148.5</v>
      </c>
      <c r="J74" s="178"/>
      <c r="K74" s="178"/>
      <c r="L74" s="178"/>
      <c r="M74" s="178"/>
      <c r="N74" s="178"/>
      <c r="O74" s="178"/>
      <c r="P74" s="178"/>
      <c r="Q74" s="179"/>
    </row>
    <row r="75" spans="1:17" s="50" customFormat="1" ht="25" customHeight="1">
      <c r="A75" s="313" t="s">
        <v>225</v>
      </c>
      <c r="B75" s="273" t="s">
        <v>272</v>
      </c>
      <c r="C75" s="272">
        <v>5</v>
      </c>
      <c r="D75" s="272">
        <v>1</v>
      </c>
      <c r="E75" s="272">
        <v>3</v>
      </c>
      <c r="F75" s="180">
        <f t="shared" si="6"/>
        <v>247.5</v>
      </c>
      <c r="G75" s="268">
        <v>40</v>
      </c>
      <c r="H75" s="268">
        <f t="shared" si="7"/>
        <v>600</v>
      </c>
      <c r="I75" s="177">
        <f t="shared" si="8"/>
        <v>247.5</v>
      </c>
      <c r="J75" s="178"/>
      <c r="K75" s="178"/>
      <c r="L75" s="178"/>
      <c r="M75" s="178"/>
      <c r="N75" s="178"/>
      <c r="O75" s="178"/>
      <c r="P75" s="178"/>
      <c r="Q75" s="179"/>
    </row>
    <row r="76" spans="1:17" s="50" customFormat="1" ht="25" customHeight="1">
      <c r="A76" s="313" t="s">
        <v>226</v>
      </c>
      <c r="B76" s="273" t="s">
        <v>273</v>
      </c>
      <c r="C76" s="272">
        <v>3</v>
      </c>
      <c r="D76" s="272">
        <v>1</v>
      </c>
      <c r="E76" s="272">
        <v>3</v>
      </c>
      <c r="F76" s="180">
        <f t="shared" si="6"/>
        <v>148.5</v>
      </c>
      <c r="G76" s="268">
        <v>40</v>
      </c>
      <c r="H76" s="268">
        <f t="shared" si="7"/>
        <v>360</v>
      </c>
      <c r="I76" s="177">
        <f t="shared" si="8"/>
        <v>148.5</v>
      </c>
      <c r="J76" s="178"/>
      <c r="K76" s="178"/>
      <c r="L76" s="178"/>
      <c r="M76" s="178"/>
      <c r="N76" s="178"/>
      <c r="O76" s="178"/>
      <c r="P76" s="178"/>
      <c r="Q76" s="179"/>
    </row>
    <row r="77" spans="1:17" s="50" customFormat="1" ht="25" customHeight="1">
      <c r="A77" s="313" t="s">
        <v>227</v>
      </c>
      <c r="B77" s="273" t="s">
        <v>274</v>
      </c>
      <c r="C77" s="272">
        <v>2</v>
      </c>
      <c r="D77" s="272">
        <v>1</v>
      </c>
      <c r="E77" s="272">
        <v>3</v>
      </c>
      <c r="F77" s="180">
        <f t="shared" si="6"/>
        <v>99</v>
      </c>
      <c r="G77" s="268">
        <v>40</v>
      </c>
      <c r="H77" s="268">
        <f t="shared" si="7"/>
        <v>240</v>
      </c>
      <c r="I77" s="177">
        <f t="shared" si="8"/>
        <v>99</v>
      </c>
      <c r="J77" s="178"/>
      <c r="K77" s="178"/>
      <c r="L77" s="178"/>
      <c r="M77" s="178"/>
      <c r="N77" s="178"/>
      <c r="O77" s="178"/>
      <c r="P77" s="178"/>
      <c r="Q77" s="179"/>
    </row>
    <row r="78" spans="1:17" s="50" customFormat="1" ht="25" customHeight="1">
      <c r="A78" s="313" t="s">
        <v>228</v>
      </c>
      <c r="B78" s="273" t="s">
        <v>275</v>
      </c>
      <c r="C78" s="272">
        <v>2</v>
      </c>
      <c r="D78" s="272">
        <v>1</v>
      </c>
      <c r="E78" s="272">
        <v>3</v>
      </c>
      <c r="F78" s="180">
        <f t="shared" si="6"/>
        <v>99</v>
      </c>
      <c r="G78" s="268">
        <v>40</v>
      </c>
      <c r="H78" s="268">
        <f t="shared" si="7"/>
        <v>240</v>
      </c>
      <c r="I78" s="177">
        <f t="shared" si="8"/>
        <v>99</v>
      </c>
      <c r="J78" s="178"/>
      <c r="K78" s="178"/>
      <c r="L78" s="178"/>
      <c r="M78" s="178"/>
      <c r="N78" s="178"/>
      <c r="O78" s="178"/>
      <c r="P78" s="178"/>
      <c r="Q78" s="179"/>
    </row>
    <row r="79" spans="1:17" s="50" customFormat="1" ht="25" customHeight="1">
      <c r="A79" s="313" t="s">
        <v>229</v>
      </c>
      <c r="B79" s="273" t="s">
        <v>276</v>
      </c>
      <c r="C79" s="272">
        <v>5</v>
      </c>
      <c r="D79" s="272">
        <v>1</v>
      </c>
      <c r="E79" s="272">
        <v>3</v>
      </c>
      <c r="F79" s="180">
        <f t="shared" si="6"/>
        <v>247.5</v>
      </c>
      <c r="G79" s="268">
        <v>40</v>
      </c>
      <c r="H79" s="268">
        <f t="shared" si="7"/>
        <v>600</v>
      </c>
      <c r="I79" s="177">
        <f t="shared" si="8"/>
        <v>247.5</v>
      </c>
      <c r="J79" s="178"/>
      <c r="K79" s="178"/>
      <c r="L79" s="178"/>
      <c r="M79" s="178"/>
      <c r="N79" s="178"/>
      <c r="O79" s="178"/>
      <c r="P79" s="178"/>
      <c r="Q79" s="179"/>
    </row>
    <row r="80" spans="1:17" s="50" customFormat="1" ht="25" customHeight="1">
      <c r="A80" s="313" t="s">
        <v>280</v>
      </c>
      <c r="B80" s="273" t="s">
        <v>277</v>
      </c>
      <c r="C80" s="272">
        <v>2</v>
      </c>
      <c r="D80" s="272">
        <v>1</v>
      </c>
      <c r="E80" s="272">
        <v>3</v>
      </c>
      <c r="F80" s="180">
        <f t="shared" si="6"/>
        <v>99</v>
      </c>
      <c r="G80" s="268">
        <v>40</v>
      </c>
      <c r="H80" s="268">
        <f t="shared" si="7"/>
        <v>240</v>
      </c>
      <c r="I80" s="177">
        <f t="shared" si="8"/>
        <v>99</v>
      </c>
      <c r="J80" s="178"/>
      <c r="K80" s="178"/>
      <c r="L80" s="178"/>
      <c r="M80" s="178"/>
      <c r="N80" s="178"/>
      <c r="O80" s="178"/>
      <c r="P80" s="178"/>
      <c r="Q80" s="179"/>
    </row>
    <row r="81" spans="1:17" s="50" customFormat="1" ht="25" customHeight="1">
      <c r="A81" s="313" t="s">
        <v>281</v>
      </c>
      <c r="B81" s="285" t="s">
        <v>254</v>
      </c>
      <c r="C81" s="272">
        <v>3</v>
      </c>
      <c r="D81" s="272">
        <v>1</v>
      </c>
      <c r="E81" s="272">
        <v>5</v>
      </c>
      <c r="F81" s="180">
        <f t="shared" si="6"/>
        <v>247.5</v>
      </c>
      <c r="G81" s="268">
        <v>40</v>
      </c>
      <c r="H81" s="268">
        <f t="shared" si="7"/>
        <v>600</v>
      </c>
      <c r="I81" s="177">
        <f t="shared" si="8"/>
        <v>247.5</v>
      </c>
      <c r="J81" s="178"/>
      <c r="K81" s="178"/>
      <c r="L81" s="178"/>
      <c r="M81" s="178"/>
      <c r="N81" s="178"/>
      <c r="O81" s="178"/>
      <c r="P81" s="178"/>
      <c r="Q81" s="179"/>
    </row>
    <row r="82" spans="1:17" s="50" customFormat="1" ht="25" customHeight="1">
      <c r="A82" s="313" t="s">
        <v>282</v>
      </c>
      <c r="B82" s="285" t="s">
        <v>260</v>
      </c>
      <c r="C82" s="272">
        <v>5</v>
      </c>
      <c r="D82" s="272">
        <v>1</v>
      </c>
      <c r="E82" s="272">
        <v>5</v>
      </c>
      <c r="F82" s="180">
        <f t="shared" si="6"/>
        <v>412.5</v>
      </c>
      <c r="G82" s="268">
        <v>40</v>
      </c>
      <c r="H82" s="268">
        <f t="shared" si="7"/>
        <v>1000</v>
      </c>
      <c r="I82" s="177">
        <f t="shared" si="8"/>
        <v>412.5</v>
      </c>
      <c r="J82" s="178"/>
      <c r="K82" s="178"/>
      <c r="L82" s="178"/>
      <c r="M82" s="178"/>
      <c r="N82" s="178"/>
      <c r="O82" s="178"/>
      <c r="P82" s="178"/>
      <c r="Q82" s="179"/>
    </row>
    <row r="83" spans="1:17" s="50" customFormat="1" ht="25" customHeight="1">
      <c r="A83" s="313" t="s">
        <v>283</v>
      </c>
      <c r="B83" s="285" t="s">
        <v>278</v>
      </c>
      <c r="C83" s="272">
        <v>2</v>
      </c>
      <c r="D83" s="272">
        <v>1</v>
      </c>
      <c r="E83" s="272">
        <v>5</v>
      </c>
      <c r="F83" s="268">
        <f>SUM(F68:F82)</f>
        <v>5808</v>
      </c>
      <c r="G83" s="172">
        <f>SUM(G68:G82)</f>
        <v>600</v>
      </c>
      <c r="H83" s="172">
        <f>SUM(H68:H82)</f>
        <v>69520</v>
      </c>
      <c r="I83" s="172">
        <f>SUM(I68:I82)</f>
        <v>5808</v>
      </c>
      <c r="J83" s="178"/>
      <c r="K83" s="178"/>
      <c r="L83" s="178"/>
      <c r="M83" s="178"/>
      <c r="N83" s="178"/>
      <c r="O83" s="178"/>
      <c r="P83" s="178"/>
      <c r="Q83" s="179"/>
    </row>
    <row r="84" spans="1:17" s="50" customFormat="1" ht="25" customHeight="1">
      <c r="A84" s="313" t="s">
        <v>284</v>
      </c>
      <c r="B84" s="273" t="s">
        <v>279</v>
      </c>
      <c r="C84" s="272">
        <v>5</v>
      </c>
      <c r="D84" s="272">
        <v>1</v>
      </c>
      <c r="E84" s="272">
        <v>5</v>
      </c>
      <c r="F84" s="268">
        <v>0</v>
      </c>
      <c r="G84" s="268">
        <v>0</v>
      </c>
      <c r="H84" s="268">
        <v>0</v>
      </c>
      <c r="I84" s="268">
        <v>0</v>
      </c>
      <c r="J84" s="178"/>
      <c r="K84" s="178"/>
      <c r="L84" s="178"/>
      <c r="M84" s="178"/>
      <c r="N84" s="178"/>
      <c r="O84" s="178"/>
      <c r="P84" s="178"/>
      <c r="Q84" s="179"/>
    </row>
    <row r="85" spans="1:17" s="50" customFormat="1" ht="25" customHeight="1">
      <c r="A85" s="313" t="s">
        <v>287</v>
      </c>
      <c r="B85" s="270" t="s">
        <v>285</v>
      </c>
      <c r="C85" s="272">
        <v>3</v>
      </c>
      <c r="D85" s="272">
        <v>1</v>
      </c>
      <c r="E85" s="272">
        <v>3</v>
      </c>
      <c r="F85" s="245">
        <f>F48+F63+F83</f>
        <v>12741.8</v>
      </c>
      <c r="G85" s="187">
        <f>G48+G63+G83</f>
        <v>2437</v>
      </c>
      <c r="H85" s="187">
        <f>H48+H63+H83</f>
        <v>85906.8</v>
      </c>
      <c r="I85" s="187">
        <f>I48+I63+I83</f>
        <v>12741.8</v>
      </c>
      <c r="J85" s="188">
        <v>0</v>
      </c>
      <c r="K85" s="188">
        <v>0</v>
      </c>
      <c r="L85" s="189">
        <f>'Bieu3 GDTH'!F24</f>
        <v>2632</v>
      </c>
      <c r="M85" s="190">
        <f>'Bieu3 GDTH'!N24</f>
        <v>2402.5</v>
      </c>
      <c r="N85" s="190">
        <f>I85-M85</f>
        <v>10339.299999999999</v>
      </c>
      <c r="O85" s="191">
        <f>'Bieu3 GDTH'!O24</f>
        <v>1422.25</v>
      </c>
      <c r="P85" s="191">
        <f>'Bieu3 GDTH'!P24</f>
        <v>780</v>
      </c>
      <c r="Q85" s="192"/>
    </row>
    <row r="86" spans="1:17" s="50" customFormat="1" ht="25" customHeight="1">
      <c r="A86" s="313" t="s">
        <v>288</v>
      </c>
      <c r="B86" s="270" t="s">
        <v>263</v>
      </c>
      <c r="C86" s="272">
        <v>3</v>
      </c>
      <c r="D86" s="272">
        <v>1</v>
      </c>
      <c r="E86" s="272">
        <v>3</v>
      </c>
      <c r="F86" s="290"/>
      <c r="G86" s="289"/>
      <c r="H86" s="289"/>
      <c r="I86" s="289"/>
      <c r="J86" s="291"/>
      <c r="K86" s="291"/>
      <c r="L86" s="292"/>
      <c r="M86" s="293"/>
      <c r="N86" s="293"/>
      <c r="O86" s="294"/>
      <c r="P86" s="294"/>
      <c r="Q86" s="295"/>
    </row>
    <row r="87" spans="1:17" s="50" customFormat="1" ht="25" customHeight="1">
      <c r="A87" s="313" t="s">
        <v>289</v>
      </c>
      <c r="B87" s="270" t="s">
        <v>286</v>
      </c>
      <c r="C87" s="272">
        <v>5</v>
      </c>
      <c r="D87" s="272">
        <v>1</v>
      </c>
      <c r="E87" s="272">
        <v>3</v>
      </c>
      <c r="F87" s="290"/>
      <c r="G87" s="289"/>
      <c r="H87" s="289"/>
      <c r="I87" s="289"/>
      <c r="J87" s="291"/>
      <c r="K87" s="291"/>
      <c r="L87" s="292"/>
      <c r="M87" s="293"/>
      <c r="N87" s="293"/>
      <c r="O87" s="294"/>
      <c r="P87" s="294"/>
      <c r="Q87" s="295"/>
    </row>
    <row r="88" spans="1:17" s="50" customFormat="1" ht="25" customHeight="1">
      <c r="A88" s="313" t="s">
        <v>290</v>
      </c>
      <c r="B88" s="270" t="s">
        <v>261</v>
      </c>
      <c r="C88" s="272">
        <v>3</v>
      </c>
      <c r="D88" s="272">
        <v>1</v>
      </c>
      <c r="E88" s="272">
        <v>3</v>
      </c>
      <c r="F88" s="290"/>
      <c r="G88" s="289"/>
      <c r="H88" s="289"/>
      <c r="I88" s="289"/>
      <c r="J88" s="291"/>
      <c r="K88" s="291"/>
      <c r="L88" s="292"/>
      <c r="M88" s="293"/>
      <c r="N88" s="293"/>
      <c r="O88" s="294"/>
      <c r="P88" s="294"/>
      <c r="Q88" s="295"/>
    </row>
    <row r="89" spans="1:17" s="50" customFormat="1" ht="25" customHeight="1">
      <c r="A89" s="319"/>
      <c r="B89" s="314" t="s">
        <v>350</v>
      </c>
      <c r="C89" s="315">
        <f>SUM(C74:C88)</f>
        <v>51</v>
      </c>
      <c r="D89" s="315">
        <f>SUM(D74:D88)</f>
        <v>15</v>
      </c>
      <c r="E89" s="315">
        <f>SUM(E74:E88)</f>
        <v>53</v>
      </c>
      <c r="F89" s="290"/>
      <c r="G89" s="289"/>
      <c r="H89" s="289"/>
      <c r="I89" s="289"/>
      <c r="J89" s="291"/>
      <c r="K89" s="291"/>
      <c r="L89" s="292"/>
      <c r="M89" s="293"/>
      <c r="N89" s="293"/>
      <c r="O89" s="294"/>
      <c r="P89" s="294"/>
      <c r="Q89" s="295"/>
    </row>
    <row r="90" spans="1:17" s="50" customFormat="1" ht="25" customHeight="1">
      <c r="A90" s="316">
        <v>2</v>
      </c>
      <c r="B90" s="316" t="s">
        <v>83</v>
      </c>
      <c r="C90" s="272">
        <v>0</v>
      </c>
      <c r="D90" s="272">
        <v>0</v>
      </c>
      <c r="E90" s="272">
        <v>0</v>
      </c>
      <c r="F90" s="290"/>
      <c r="G90" s="289"/>
      <c r="H90" s="289"/>
      <c r="I90" s="289"/>
      <c r="J90" s="291"/>
      <c r="K90" s="291"/>
      <c r="L90" s="292"/>
      <c r="M90" s="293"/>
      <c r="N90" s="293"/>
      <c r="O90" s="294"/>
      <c r="P90" s="294"/>
      <c r="Q90" s="295"/>
    </row>
    <row r="91" spans="1:17" s="50" customFormat="1" ht="25" customHeight="1">
      <c r="A91" s="320"/>
      <c r="B91" s="320" t="s">
        <v>369</v>
      </c>
      <c r="C91" s="321">
        <f>C54+C69+C89</f>
        <v>191</v>
      </c>
      <c r="D91" s="321">
        <f>D54+D69+D89</f>
        <v>65.66</v>
      </c>
      <c r="E91" s="321">
        <f>E54+E69+E89</f>
        <v>206</v>
      </c>
      <c r="F91" s="290"/>
      <c r="G91" s="289"/>
      <c r="H91" s="289"/>
      <c r="I91" s="289"/>
      <c r="J91" s="291"/>
      <c r="K91" s="291"/>
      <c r="L91" s="292"/>
      <c r="M91" s="293"/>
      <c r="N91" s="293"/>
      <c r="O91" s="294"/>
      <c r="P91" s="294"/>
      <c r="Q91" s="295"/>
    </row>
    <row r="92" spans="1:17" s="50" customFormat="1" ht="25" customHeight="1">
      <c r="A92" s="168" t="s">
        <v>18</v>
      </c>
      <c r="B92" s="168" t="s">
        <v>370</v>
      </c>
      <c r="C92" s="268"/>
      <c r="D92" s="268"/>
      <c r="E92" s="268"/>
      <c r="F92" s="268"/>
      <c r="G92" s="268"/>
      <c r="H92" s="268"/>
      <c r="I92" s="178"/>
      <c r="J92" s="178"/>
      <c r="K92" s="178"/>
      <c r="L92" s="178"/>
      <c r="M92" s="178"/>
      <c r="N92" s="178"/>
      <c r="O92" s="178"/>
      <c r="P92" s="178"/>
      <c r="Q92" s="179"/>
    </row>
    <row r="93" spans="1:17" s="50" customFormat="1" ht="25" customHeight="1">
      <c r="A93" s="193" t="s">
        <v>372</v>
      </c>
      <c r="B93" s="193" t="s">
        <v>373</v>
      </c>
      <c r="C93" s="268"/>
      <c r="D93" s="268"/>
      <c r="E93" s="268"/>
      <c r="F93" s="268"/>
      <c r="G93" s="268"/>
      <c r="H93" s="268"/>
      <c r="I93" s="178"/>
      <c r="J93" s="178"/>
      <c r="K93" s="178"/>
      <c r="L93" s="178"/>
      <c r="M93" s="178"/>
      <c r="N93" s="178"/>
      <c r="O93" s="178"/>
      <c r="P93" s="178"/>
      <c r="Q93" s="179"/>
    </row>
    <row r="94" spans="1:17" s="50" customFormat="1" ht="25" customHeight="1">
      <c r="A94" s="193">
        <v>1</v>
      </c>
      <c r="B94" s="193" t="s">
        <v>374</v>
      </c>
      <c r="C94" s="268"/>
      <c r="D94" s="268"/>
      <c r="E94" s="268"/>
      <c r="F94" s="268"/>
      <c r="G94" s="268"/>
      <c r="H94" s="268"/>
      <c r="I94" s="178"/>
      <c r="J94" s="178"/>
      <c r="K94" s="178"/>
      <c r="L94" s="178"/>
      <c r="M94" s="178"/>
      <c r="N94" s="178"/>
      <c r="O94" s="178"/>
      <c r="P94" s="178"/>
      <c r="Q94" s="179"/>
    </row>
    <row r="95" spans="1:17" s="50" customFormat="1" ht="25" customHeight="1">
      <c r="A95" s="194" t="s">
        <v>145</v>
      </c>
      <c r="B95" s="195" t="s">
        <v>159</v>
      </c>
      <c r="C95" s="268"/>
      <c r="D95" s="268"/>
      <c r="E95" s="268"/>
      <c r="F95" s="268"/>
      <c r="G95" s="268"/>
      <c r="H95" s="268"/>
      <c r="I95" s="178"/>
      <c r="J95" s="178"/>
      <c r="K95" s="178"/>
      <c r="L95" s="178"/>
      <c r="M95" s="178"/>
      <c r="N95" s="178"/>
      <c r="O95" s="178"/>
      <c r="P95" s="178"/>
      <c r="Q95" s="179"/>
    </row>
    <row r="96" spans="1:17" s="50" customFormat="1" ht="25" customHeight="1">
      <c r="A96" s="269" t="s">
        <v>224</v>
      </c>
      <c r="B96" s="270" t="s">
        <v>581</v>
      </c>
      <c r="C96" s="271">
        <v>3</v>
      </c>
      <c r="D96" s="271">
        <v>1</v>
      </c>
      <c r="E96" s="271">
        <v>3</v>
      </c>
      <c r="F96" s="180">
        <f t="shared" ref="F96:F119" si="9">I96+J96+K96</f>
        <v>148.5</v>
      </c>
      <c r="G96" s="196">
        <v>60</v>
      </c>
      <c r="H96" s="268">
        <f t="shared" ref="H96:H118" si="10">C96*D96*E96*G96</f>
        <v>540</v>
      </c>
      <c r="I96" s="177">
        <f t="shared" ref="I96:I110" si="11">IF(G96&lt;70, C96*E96*16.5*1, C96*E96*16.5*1.3)</f>
        <v>148.5</v>
      </c>
      <c r="J96" s="197"/>
      <c r="K96" s="197"/>
      <c r="L96" s="178"/>
      <c r="M96" s="178"/>
      <c r="N96" s="178"/>
      <c r="O96" s="178"/>
      <c r="P96" s="178"/>
      <c r="Q96" s="179"/>
    </row>
    <row r="97" spans="1:17" s="50" customFormat="1" ht="25" customHeight="1">
      <c r="A97" s="269" t="s">
        <v>225</v>
      </c>
      <c r="B97" s="270" t="s">
        <v>582</v>
      </c>
      <c r="C97" s="271">
        <v>4</v>
      </c>
      <c r="D97" s="271">
        <v>1.3</v>
      </c>
      <c r="E97" s="271">
        <v>3</v>
      </c>
      <c r="F97" s="180">
        <f t="shared" si="9"/>
        <v>257.40000000000003</v>
      </c>
      <c r="G97" s="196">
        <v>70</v>
      </c>
      <c r="H97" s="268">
        <f t="shared" si="10"/>
        <v>1092</v>
      </c>
      <c r="I97" s="177">
        <f t="shared" si="11"/>
        <v>257.40000000000003</v>
      </c>
      <c r="J97" s="197"/>
      <c r="K97" s="197"/>
      <c r="L97" s="178"/>
      <c r="M97" s="178"/>
      <c r="N97" s="178"/>
      <c r="O97" s="178"/>
      <c r="P97" s="178"/>
      <c r="Q97" s="179"/>
    </row>
    <row r="98" spans="1:17" s="50" customFormat="1" ht="25" customHeight="1">
      <c r="A98" s="269" t="s">
        <v>226</v>
      </c>
      <c r="B98" s="270" t="s">
        <v>583</v>
      </c>
      <c r="C98" s="271">
        <v>1</v>
      </c>
      <c r="D98" s="271">
        <v>1.3</v>
      </c>
      <c r="E98" s="271">
        <v>8</v>
      </c>
      <c r="F98" s="180">
        <f t="shared" si="9"/>
        <v>132</v>
      </c>
      <c r="G98" s="196">
        <v>20</v>
      </c>
      <c r="H98" s="268">
        <f t="shared" si="10"/>
        <v>208</v>
      </c>
      <c r="I98" s="177">
        <f t="shared" si="11"/>
        <v>132</v>
      </c>
      <c r="J98" s="197"/>
      <c r="K98" s="197"/>
      <c r="L98" s="178"/>
      <c r="M98" s="178"/>
      <c r="N98" s="178"/>
      <c r="O98" s="178"/>
      <c r="P98" s="178"/>
      <c r="Q98" s="179"/>
    </row>
    <row r="99" spans="1:17" s="50" customFormat="1" ht="25" customHeight="1">
      <c r="A99" s="269" t="s">
        <v>226</v>
      </c>
      <c r="B99" s="270" t="s">
        <v>584</v>
      </c>
      <c r="C99" s="271">
        <v>1</v>
      </c>
      <c r="D99" s="271">
        <v>1.3</v>
      </c>
      <c r="E99" s="271">
        <v>8</v>
      </c>
      <c r="F99" s="180">
        <f t="shared" si="9"/>
        <v>132</v>
      </c>
      <c r="G99" s="196">
        <v>20</v>
      </c>
      <c r="H99" s="268">
        <f t="shared" si="10"/>
        <v>208</v>
      </c>
      <c r="I99" s="177">
        <f t="shared" si="11"/>
        <v>132</v>
      </c>
      <c r="J99" s="197"/>
      <c r="K99" s="197"/>
      <c r="L99" s="178"/>
      <c r="M99" s="178"/>
      <c r="N99" s="178"/>
      <c r="O99" s="178"/>
      <c r="P99" s="178"/>
      <c r="Q99" s="179"/>
    </row>
    <row r="100" spans="1:17" s="50" customFormat="1" ht="25" customHeight="1">
      <c r="A100" s="269" t="s">
        <v>227</v>
      </c>
      <c r="B100" s="270" t="s">
        <v>585</v>
      </c>
      <c r="C100" s="271">
        <v>1</v>
      </c>
      <c r="D100" s="271">
        <v>1.3</v>
      </c>
      <c r="E100" s="271">
        <v>7</v>
      </c>
      <c r="F100" s="180">
        <f t="shared" si="9"/>
        <v>115.5</v>
      </c>
      <c r="G100" s="196">
        <v>60</v>
      </c>
      <c r="H100" s="268">
        <f t="shared" si="10"/>
        <v>546</v>
      </c>
      <c r="I100" s="177">
        <f t="shared" si="11"/>
        <v>115.5</v>
      </c>
      <c r="J100" s="197"/>
      <c r="K100" s="197"/>
      <c r="L100" s="178"/>
      <c r="M100" s="178"/>
      <c r="N100" s="178"/>
      <c r="O100" s="178"/>
      <c r="P100" s="178"/>
      <c r="Q100" s="179"/>
    </row>
    <row r="101" spans="1:17" s="50" customFormat="1" ht="25" customHeight="1">
      <c r="A101" s="269" t="s">
        <v>228</v>
      </c>
      <c r="B101" s="270" t="s">
        <v>380</v>
      </c>
      <c r="C101" s="271">
        <v>4</v>
      </c>
      <c r="D101" s="271">
        <v>1</v>
      </c>
      <c r="E101" s="271">
        <v>3</v>
      </c>
      <c r="F101" s="180">
        <f t="shared" si="9"/>
        <v>198</v>
      </c>
      <c r="G101" s="196">
        <v>25</v>
      </c>
      <c r="H101" s="268">
        <f t="shared" si="10"/>
        <v>300</v>
      </c>
      <c r="I101" s="177">
        <f t="shared" si="11"/>
        <v>198</v>
      </c>
      <c r="J101" s="197"/>
      <c r="K101" s="197"/>
      <c r="L101" s="178"/>
      <c r="M101" s="178"/>
      <c r="N101" s="178"/>
      <c r="O101" s="178"/>
      <c r="P101" s="178"/>
      <c r="Q101" s="179"/>
    </row>
    <row r="102" spans="1:17" s="50" customFormat="1" ht="25" customHeight="1">
      <c r="A102" s="269" t="s">
        <v>280</v>
      </c>
      <c r="B102" s="270" t="s">
        <v>586</v>
      </c>
      <c r="C102" s="271">
        <v>2</v>
      </c>
      <c r="D102" s="271">
        <v>1</v>
      </c>
      <c r="E102" s="271">
        <v>3</v>
      </c>
      <c r="F102" s="180">
        <f t="shared" si="9"/>
        <v>128.70000000000002</v>
      </c>
      <c r="G102" s="196">
        <v>70</v>
      </c>
      <c r="H102" s="268">
        <f t="shared" si="10"/>
        <v>420</v>
      </c>
      <c r="I102" s="177">
        <f t="shared" si="11"/>
        <v>128.70000000000002</v>
      </c>
      <c r="J102" s="197"/>
      <c r="K102" s="197"/>
      <c r="L102" s="178"/>
      <c r="M102" s="178"/>
      <c r="N102" s="178"/>
      <c r="O102" s="178"/>
      <c r="P102" s="178"/>
      <c r="Q102" s="179"/>
    </row>
    <row r="103" spans="1:17" s="50" customFormat="1" ht="25" customHeight="1">
      <c r="A103" s="269" t="s">
        <v>281</v>
      </c>
      <c r="B103" s="270" t="s">
        <v>587</v>
      </c>
      <c r="C103" s="271">
        <v>3</v>
      </c>
      <c r="D103" s="271">
        <v>1</v>
      </c>
      <c r="E103" s="271">
        <v>2</v>
      </c>
      <c r="F103" s="180">
        <f t="shared" si="9"/>
        <v>99</v>
      </c>
      <c r="G103" s="196">
        <v>60</v>
      </c>
      <c r="H103" s="268">
        <f t="shared" si="10"/>
        <v>360</v>
      </c>
      <c r="I103" s="177">
        <f t="shared" si="11"/>
        <v>99</v>
      </c>
      <c r="J103" s="197"/>
      <c r="K103" s="197"/>
      <c r="L103" s="178"/>
      <c r="M103" s="178"/>
      <c r="N103" s="178"/>
      <c r="O103" s="178"/>
      <c r="P103" s="178"/>
      <c r="Q103" s="179"/>
    </row>
    <row r="104" spans="1:17" s="50" customFormat="1" ht="25" customHeight="1">
      <c r="A104" s="269" t="s">
        <v>282</v>
      </c>
      <c r="B104" s="270" t="s">
        <v>588</v>
      </c>
      <c r="C104" s="271">
        <v>3</v>
      </c>
      <c r="D104" s="271">
        <v>1.1000000000000001</v>
      </c>
      <c r="E104" s="271">
        <v>3</v>
      </c>
      <c r="F104" s="180">
        <f t="shared" si="9"/>
        <v>193.05</v>
      </c>
      <c r="G104" s="196">
        <v>70</v>
      </c>
      <c r="H104" s="268">
        <f t="shared" si="10"/>
        <v>693</v>
      </c>
      <c r="I104" s="177">
        <f t="shared" si="11"/>
        <v>193.05</v>
      </c>
      <c r="J104" s="197"/>
      <c r="K104" s="197"/>
      <c r="L104" s="178"/>
      <c r="M104" s="178"/>
      <c r="N104" s="178"/>
      <c r="O104" s="178"/>
      <c r="P104" s="178"/>
      <c r="Q104" s="179"/>
    </row>
    <row r="105" spans="1:17" s="50" customFormat="1" ht="25" customHeight="1">
      <c r="A105" s="269" t="s">
        <v>283</v>
      </c>
      <c r="B105" s="270" t="s">
        <v>589</v>
      </c>
      <c r="C105" s="272">
        <v>3</v>
      </c>
      <c r="D105" s="272">
        <v>1</v>
      </c>
      <c r="E105" s="272">
        <v>2</v>
      </c>
      <c r="F105" s="180">
        <f t="shared" si="9"/>
        <v>128.70000000000002</v>
      </c>
      <c r="G105" s="198">
        <v>70</v>
      </c>
      <c r="H105" s="268">
        <f t="shared" si="10"/>
        <v>420</v>
      </c>
      <c r="I105" s="177">
        <f t="shared" si="11"/>
        <v>128.70000000000002</v>
      </c>
      <c r="J105" s="197"/>
      <c r="K105" s="197"/>
      <c r="L105" s="178"/>
      <c r="M105" s="178"/>
      <c r="N105" s="178"/>
      <c r="O105" s="178"/>
      <c r="P105" s="178"/>
      <c r="Q105" s="179"/>
    </row>
    <row r="106" spans="1:17" s="50" customFormat="1" ht="25" customHeight="1">
      <c r="A106" s="269" t="s">
        <v>284</v>
      </c>
      <c r="B106" s="270" t="s">
        <v>590</v>
      </c>
      <c r="C106" s="272">
        <v>4</v>
      </c>
      <c r="D106" s="272">
        <v>1</v>
      </c>
      <c r="E106" s="272">
        <v>3</v>
      </c>
      <c r="F106" s="180">
        <f t="shared" si="9"/>
        <v>257.40000000000003</v>
      </c>
      <c r="G106" s="198">
        <v>70</v>
      </c>
      <c r="H106" s="268">
        <f t="shared" si="10"/>
        <v>840</v>
      </c>
      <c r="I106" s="177">
        <f t="shared" si="11"/>
        <v>257.40000000000003</v>
      </c>
      <c r="J106" s="197"/>
      <c r="K106" s="197"/>
      <c r="L106" s="178"/>
      <c r="M106" s="178"/>
      <c r="N106" s="178"/>
      <c r="O106" s="178"/>
      <c r="P106" s="178"/>
      <c r="Q106" s="179"/>
    </row>
    <row r="107" spans="1:17" s="50" customFormat="1" ht="25" customHeight="1">
      <c r="A107" s="269" t="s">
        <v>287</v>
      </c>
      <c r="B107" s="270" t="s">
        <v>591</v>
      </c>
      <c r="C107" s="272">
        <v>2</v>
      </c>
      <c r="D107" s="272">
        <v>1.3</v>
      </c>
      <c r="E107" s="272">
        <v>6</v>
      </c>
      <c r="F107" s="180">
        <f t="shared" si="9"/>
        <v>198</v>
      </c>
      <c r="G107" s="198">
        <v>25</v>
      </c>
      <c r="H107" s="268">
        <f t="shared" si="10"/>
        <v>390.00000000000006</v>
      </c>
      <c r="I107" s="177">
        <f t="shared" si="11"/>
        <v>198</v>
      </c>
      <c r="J107" s="197"/>
      <c r="K107" s="197"/>
      <c r="L107" s="178"/>
      <c r="M107" s="178"/>
      <c r="N107" s="178"/>
      <c r="O107" s="178"/>
      <c r="P107" s="178"/>
      <c r="Q107" s="179"/>
    </row>
    <row r="108" spans="1:17" s="50" customFormat="1" ht="25" customHeight="1">
      <c r="A108" s="269" t="s">
        <v>288</v>
      </c>
      <c r="B108" s="270" t="s">
        <v>592</v>
      </c>
      <c r="C108" s="272">
        <v>3</v>
      </c>
      <c r="D108" s="272">
        <v>1</v>
      </c>
      <c r="E108" s="272">
        <v>2</v>
      </c>
      <c r="F108" s="180">
        <f t="shared" si="9"/>
        <v>128.70000000000002</v>
      </c>
      <c r="G108" s="198">
        <v>70</v>
      </c>
      <c r="H108" s="268">
        <f t="shared" si="10"/>
        <v>420</v>
      </c>
      <c r="I108" s="177">
        <f t="shared" si="11"/>
        <v>128.70000000000002</v>
      </c>
      <c r="J108" s="197"/>
      <c r="K108" s="197"/>
      <c r="L108" s="178"/>
      <c r="M108" s="178"/>
      <c r="N108" s="178"/>
      <c r="O108" s="178"/>
      <c r="P108" s="178"/>
      <c r="Q108" s="179"/>
    </row>
    <row r="109" spans="1:17" s="50" customFormat="1" ht="25" customHeight="1">
      <c r="A109" s="269" t="s">
        <v>289</v>
      </c>
      <c r="B109" s="270" t="s">
        <v>492</v>
      </c>
      <c r="C109" s="272">
        <v>2</v>
      </c>
      <c r="D109" s="272">
        <v>1</v>
      </c>
      <c r="E109" s="272">
        <v>1</v>
      </c>
      <c r="F109" s="180">
        <f t="shared" si="9"/>
        <v>33</v>
      </c>
      <c r="G109" s="198">
        <v>40</v>
      </c>
      <c r="H109" s="268">
        <f t="shared" si="10"/>
        <v>80</v>
      </c>
      <c r="I109" s="177">
        <f t="shared" si="11"/>
        <v>33</v>
      </c>
      <c r="J109" s="197"/>
      <c r="K109" s="197"/>
      <c r="L109" s="178"/>
      <c r="M109" s="178"/>
      <c r="N109" s="178"/>
      <c r="O109" s="178"/>
      <c r="P109" s="178"/>
      <c r="Q109" s="179"/>
    </row>
    <row r="110" spans="1:17" s="50" customFormat="1" ht="25" customHeight="1">
      <c r="A110" s="269" t="s">
        <v>290</v>
      </c>
      <c r="B110" s="273" t="s">
        <v>593</v>
      </c>
      <c r="C110" s="272">
        <v>4</v>
      </c>
      <c r="D110" s="272">
        <v>1</v>
      </c>
      <c r="E110" s="272">
        <v>3</v>
      </c>
      <c r="F110" s="180">
        <f t="shared" si="9"/>
        <v>257.40000000000003</v>
      </c>
      <c r="G110" s="198">
        <v>70</v>
      </c>
      <c r="H110" s="268">
        <f t="shared" si="10"/>
        <v>840</v>
      </c>
      <c r="I110" s="177">
        <f t="shared" si="11"/>
        <v>257.40000000000003</v>
      </c>
      <c r="J110" s="172">
        <v>0</v>
      </c>
      <c r="K110" s="172">
        <v>0</v>
      </c>
      <c r="L110" s="178"/>
      <c r="M110" s="178"/>
      <c r="N110" s="178"/>
      <c r="O110" s="178"/>
      <c r="P110" s="178"/>
      <c r="Q110" s="179"/>
    </row>
    <row r="111" spans="1:17" s="50" customFormat="1" ht="25" customHeight="1">
      <c r="A111" s="269" t="s">
        <v>390</v>
      </c>
      <c r="B111" s="273" t="s">
        <v>594</v>
      </c>
      <c r="C111" s="272">
        <v>3</v>
      </c>
      <c r="D111" s="272">
        <v>1.2</v>
      </c>
      <c r="E111" s="272">
        <v>2</v>
      </c>
      <c r="F111" s="180">
        <f t="shared" si="9"/>
        <v>30</v>
      </c>
      <c r="G111" s="198">
        <v>25</v>
      </c>
      <c r="H111" s="268">
        <f t="shared" si="10"/>
        <v>179.99999999999997</v>
      </c>
      <c r="I111" s="177">
        <f>E111*15</f>
        <v>30</v>
      </c>
      <c r="J111" s="178"/>
      <c r="K111" s="178"/>
      <c r="L111" s="178"/>
      <c r="M111" s="178"/>
      <c r="N111" s="178"/>
      <c r="O111" s="178"/>
      <c r="P111" s="178"/>
      <c r="Q111" s="179"/>
    </row>
    <row r="112" spans="1:17" s="50" customFormat="1" ht="25" customHeight="1">
      <c r="A112" s="269" t="s">
        <v>391</v>
      </c>
      <c r="B112" s="273" t="s">
        <v>595</v>
      </c>
      <c r="C112" s="272">
        <v>4</v>
      </c>
      <c r="D112" s="272">
        <v>1</v>
      </c>
      <c r="E112" s="272">
        <v>3</v>
      </c>
      <c r="F112" s="180">
        <f t="shared" si="9"/>
        <v>198</v>
      </c>
      <c r="G112" s="198">
        <v>25</v>
      </c>
      <c r="H112" s="268">
        <f t="shared" si="10"/>
        <v>300</v>
      </c>
      <c r="I112" s="176"/>
      <c r="J112" s="177">
        <f>IF(G112&lt;70, C112*E112*16.5*1, C112*E112*16.5*1.3)</f>
        <v>198</v>
      </c>
      <c r="K112" s="178"/>
      <c r="L112" s="178"/>
      <c r="M112" s="178"/>
      <c r="N112" s="178"/>
      <c r="O112" s="178"/>
      <c r="P112" s="178"/>
      <c r="Q112" s="179"/>
    </row>
    <row r="113" spans="1:17" s="50" customFormat="1" ht="25" customHeight="1">
      <c r="A113" s="269" t="s">
        <v>392</v>
      </c>
      <c r="B113" s="273" t="s">
        <v>596</v>
      </c>
      <c r="C113" s="272">
        <v>4</v>
      </c>
      <c r="D113" s="272">
        <v>1</v>
      </c>
      <c r="E113" s="272">
        <v>3</v>
      </c>
      <c r="F113" s="180">
        <f t="shared" si="9"/>
        <v>257.40000000000003</v>
      </c>
      <c r="G113" s="198">
        <v>70</v>
      </c>
      <c r="H113" s="268">
        <f t="shared" si="10"/>
        <v>840</v>
      </c>
      <c r="I113" s="177">
        <f>IF(G113&lt;70, C113*E113*16.5*1, C113*E113*16.5*1.3)</f>
        <v>257.40000000000003</v>
      </c>
      <c r="J113" s="178"/>
      <c r="K113" s="178"/>
      <c r="L113" s="178"/>
      <c r="M113" s="178"/>
      <c r="N113" s="178"/>
      <c r="O113" s="178"/>
      <c r="P113" s="178"/>
      <c r="Q113" s="179"/>
    </row>
    <row r="114" spans="1:17" s="50" customFormat="1" ht="25" customHeight="1">
      <c r="A114" s="269" t="s">
        <v>393</v>
      </c>
      <c r="B114" s="273" t="s">
        <v>371</v>
      </c>
      <c r="C114" s="272">
        <v>2</v>
      </c>
      <c r="D114" s="272">
        <v>1.3</v>
      </c>
      <c r="E114" s="272">
        <v>2</v>
      </c>
      <c r="F114" s="180">
        <f t="shared" si="9"/>
        <v>85.8</v>
      </c>
      <c r="G114" s="198">
        <v>70</v>
      </c>
      <c r="H114" s="268">
        <f t="shared" si="10"/>
        <v>364</v>
      </c>
      <c r="I114" s="177">
        <f t="shared" ref="I114:I119" si="12">IF(G114&lt;70, C114*E114*16.5*1, C114*E114*16.5*1.3)</f>
        <v>85.8</v>
      </c>
      <c r="J114" s="178"/>
      <c r="K114" s="178"/>
      <c r="L114" s="178"/>
      <c r="M114" s="178"/>
      <c r="N114" s="178"/>
      <c r="O114" s="178"/>
      <c r="P114" s="178"/>
      <c r="Q114" s="179"/>
    </row>
    <row r="115" spans="1:17" s="50" customFormat="1" ht="25" customHeight="1">
      <c r="A115" s="269" t="s">
        <v>394</v>
      </c>
      <c r="B115" s="273" t="s">
        <v>597</v>
      </c>
      <c r="C115" s="272">
        <v>4</v>
      </c>
      <c r="D115" s="272">
        <v>1.3</v>
      </c>
      <c r="E115" s="272">
        <v>3</v>
      </c>
      <c r="F115" s="180">
        <f t="shared" si="9"/>
        <v>257.40000000000003</v>
      </c>
      <c r="G115" s="198">
        <v>70</v>
      </c>
      <c r="H115" s="268">
        <f t="shared" si="10"/>
        <v>1092</v>
      </c>
      <c r="I115" s="177">
        <f t="shared" si="12"/>
        <v>257.40000000000003</v>
      </c>
      <c r="J115" s="178"/>
      <c r="K115" s="178"/>
      <c r="L115" s="178"/>
      <c r="M115" s="178"/>
      <c r="N115" s="178"/>
      <c r="O115" s="178"/>
      <c r="P115" s="178"/>
      <c r="Q115" s="179"/>
    </row>
    <row r="116" spans="1:17" s="50" customFormat="1" ht="25" customHeight="1">
      <c r="A116" s="269"/>
      <c r="B116" s="273" t="s">
        <v>598</v>
      </c>
      <c r="C116" s="272">
        <v>3</v>
      </c>
      <c r="D116" s="272">
        <v>1</v>
      </c>
      <c r="E116" s="272">
        <v>2</v>
      </c>
      <c r="F116" s="180">
        <f t="shared" si="9"/>
        <v>128.70000000000002</v>
      </c>
      <c r="G116" s="198">
        <v>70</v>
      </c>
      <c r="H116" s="268">
        <f t="shared" si="10"/>
        <v>420</v>
      </c>
      <c r="I116" s="177">
        <f t="shared" si="12"/>
        <v>128.70000000000002</v>
      </c>
      <c r="J116" s="197">
        <v>0</v>
      </c>
      <c r="K116" s="197">
        <v>0</v>
      </c>
      <c r="L116" s="178"/>
      <c r="M116" s="178"/>
      <c r="N116" s="178"/>
      <c r="O116" s="178"/>
      <c r="P116" s="178"/>
      <c r="Q116" s="179"/>
    </row>
    <row r="117" spans="1:17" s="50" customFormat="1" ht="25" customHeight="1">
      <c r="A117" s="269" t="s">
        <v>395</v>
      </c>
      <c r="B117" s="273" t="s">
        <v>599</v>
      </c>
      <c r="C117" s="272">
        <v>2</v>
      </c>
      <c r="D117" s="272">
        <v>1.3</v>
      </c>
      <c r="E117" s="272">
        <v>2</v>
      </c>
      <c r="F117" s="180">
        <f t="shared" si="9"/>
        <v>85.8</v>
      </c>
      <c r="G117" s="198">
        <v>70</v>
      </c>
      <c r="H117" s="268">
        <f t="shared" si="10"/>
        <v>364</v>
      </c>
      <c r="I117" s="177">
        <f t="shared" si="12"/>
        <v>85.8</v>
      </c>
      <c r="J117" s="197">
        <v>0</v>
      </c>
      <c r="K117" s="197">
        <v>0</v>
      </c>
      <c r="L117" s="178"/>
      <c r="M117" s="178"/>
      <c r="N117" s="178"/>
      <c r="O117" s="178"/>
      <c r="P117" s="178"/>
      <c r="Q117" s="179"/>
    </row>
    <row r="118" spans="1:17" s="50" customFormat="1" ht="25" customHeight="1">
      <c r="A118" s="269"/>
      <c r="B118" s="273" t="s">
        <v>600</v>
      </c>
      <c r="C118" s="272">
        <v>4</v>
      </c>
      <c r="D118" s="272">
        <v>1</v>
      </c>
      <c r="E118" s="272">
        <v>3</v>
      </c>
      <c r="F118" s="180">
        <f t="shared" si="9"/>
        <v>257.40000000000003</v>
      </c>
      <c r="G118" s="268">
        <v>70</v>
      </c>
      <c r="H118" s="268">
        <f t="shared" si="10"/>
        <v>840</v>
      </c>
      <c r="I118" s="177">
        <f t="shared" si="12"/>
        <v>257.40000000000003</v>
      </c>
      <c r="J118" s="197">
        <v>0</v>
      </c>
      <c r="K118" s="197">
        <v>0</v>
      </c>
      <c r="L118" s="178"/>
      <c r="M118" s="178"/>
      <c r="N118" s="178"/>
      <c r="O118" s="178"/>
      <c r="P118" s="178"/>
      <c r="Q118" s="179"/>
    </row>
    <row r="119" spans="1:17" s="50" customFormat="1" ht="25" customHeight="1">
      <c r="A119" s="269" t="s">
        <v>396</v>
      </c>
      <c r="B119" s="273" t="s">
        <v>601</v>
      </c>
      <c r="C119" s="272">
        <v>4</v>
      </c>
      <c r="D119" s="272">
        <v>1.1200000000000001</v>
      </c>
      <c r="E119" s="272">
        <v>3</v>
      </c>
      <c r="F119" s="180">
        <f t="shared" si="9"/>
        <v>198</v>
      </c>
      <c r="G119" s="198">
        <v>24</v>
      </c>
      <c r="H119" s="268">
        <f>C119*D119*E119*G119</f>
        <v>322.56000000000006</v>
      </c>
      <c r="I119" s="177">
        <f t="shared" si="12"/>
        <v>198</v>
      </c>
      <c r="J119" s="197"/>
      <c r="K119" s="197"/>
      <c r="L119" s="178"/>
      <c r="M119" s="178"/>
      <c r="N119" s="178"/>
      <c r="O119" s="178"/>
      <c r="P119" s="178"/>
      <c r="Q119" s="179"/>
    </row>
    <row r="120" spans="1:17" s="50" customFormat="1" ht="25" customHeight="1">
      <c r="A120" s="269"/>
      <c r="B120" s="273"/>
      <c r="C120" s="272">
        <f>SUM(C96:C119)</f>
        <v>70</v>
      </c>
      <c r="D120" s="272">
        <f>SUM(D96:D119)</f>
        <v>26.820000000000004</v>
      </c>
      <c r="E120" s="272">
        <f>SUM(E96:E119)</f>
        <v>80</v>
      </c>
      <c r="F120" s="186"/>
      <c r="G120" s="186"/>
      <c r="H120" s="186"/>
      <c r="I120" s="172"/>
      <c r="J120" s="172"/>
      <c r="K120" s="172"/>
      <c r="L120" s="178"/>
      <c r="M120" s="178"/>
      <c r="N120" s="178"/>
      <c r="O120" s="178"/>
      <c r="P120" s="178"/>
      <c r="Q120" s="179"/>
    </row>
    <row r="121" spans="1:17" s="50" customFormat="1" ht="25" customHeight="1">
      <c r="A121" s="282" t="s">
        <v>146</v>
      </c>
      <c r="B121" s="283" t="s">
        <v>149</v>
      </c>
      <c r="C121" s="276"/>
      <c r="D121" s="276"/>
      <c r="E121" s="276"/>
      <c r="F121" s="186"/>
      <c r="G121" s="186"/>
      <c r="H121" s="186"/>
      <c r="I121" s="172"/>
      <c r="J121" s="172"/>
      <c r="K121" s="172"/>
      <c r="L121" s="178"/>
      <c r="M121" s="178"/>
      <c r="N121" s="178"/>
      <c r="O121" s="178"/>
      <c r="P121" s="178"/>
      <c r="Q121" s="179"/>
    </row>
    <row r="122" spans="1:17" s="50" customFormat="1" ht="25" customHeight="1">
      <c r="A122" s="274" t="s">
        <v>230</v>
      </c>
      <c r="B122" s="275" t="s">
        <v>152</v>
      </c>
      <c r="C122" s="276"/>
      <c r="D122" s="276"/>
      <c r="E122" s="276"/>
      <c r="F122" s="186"/>
      <c r="G122" s="186"/>
      <c r="H122" s="186"/>
      <c r="I122" s="172"/>
      <c r="J122" s="172"/>
      <c r="K122" s="172"/>
      <c r="L122" s="178"/>
      <c r="M122" s="178"/>
      <c r="N122" s="178"/>
      <c r="O122" s="178"/>
      <c r="P122" s="178"/>
      <c r="Q122" s="179"/>
    </row>
    <row r="123" spans="1:17" s="50" customFormat="1" ht="25" customHeight="1">
      <c r="A123" s="274" t="s">
        <v>231</v>
      </c>
      <c r="B123" s="275" t="s">
        <v>151</v>
      </c>
      <c r="C123" s="276"/>
      <c r="D123" s="276"/>
      <c r="E123" s="276"/>
      <c r="F123" s="186"/>
      <c r="G123" s="186"/>
      <c r="H123" s="186"/>
      <c r="I123" s="172"/>
      <c r="J123" s="172"/>
      <c r="K123" s="172"/>
      <c r="L123" s="178"/>
      <c r="M123" s="178"/>
      <c r="N123" s="178"/>
      <c r="O123" s="178"/>
      <c r="P123" s="178"/>
      <c r="Q123" s="179"/>
    </row>
    <row r="124" spans="1:17" s="50" customFormat="1" ht="25" customHeight="1">
      <c r="A124" s="274" t="s">
        <v>232</v>
      </c>
      <c r="B124" s="275" t="s">
        <v>153</v>
      </c>
      <c r="C124" s="276"/>
      <c r="D124" s="276"/>
      <c r="E124" s="276"/>
      <c r="F124" s="253">
        <f>I124</f>
        <v>0</v>
      </c>
      <c r="G124" s="186">
        <v>25</v>
      </c>
      <c r="H124" s="268">
        <f>C124*D124*E124*G124</f>
        <v>0</v>
      </c>
      <c r="I124" s="180">
        <f>2*G124*E124</f>
        <v>0</v>
      </c>
      <c r="J124" s="172"/>
      <c r="K124" s="172"/>
      <c r="L124" s="178"/>
      <c r="M124" s="178"/>
      <c r="N124" s="178"/>
      <c r="O124" s="178"/>
      <c r="P124" s="178"/>
      <c r="Q124" s="179"/>
    </row>
    <row r="125" spans="1:17" s="50" customFormat="1" ht="25" customHeight="1">
      <c r="A125" s="274" t="s">
        <v>233</v>
      </c>
      <c r="B125" s="275" t="s">
        <v>154</v>
      </c>
      <c r="C125" s="276">
        <v>4</v>
      </c>
      <c r="D125" s="276">
        <v>1.4</v>
      </c>
      <c r="E125" s="276">
        <v>6</v>
      </c>
      <c r="F125" s="186"/>
      <c r="G125" s="186"/>
      <c r="H125" s="186"/>
      <c r="I125" s="172"/>
      <c r="J125" s="172"/>
      <c r="K125" s="172"/>
      <c r="L125" s="178"/>
      <c r="M125" s="178"/>
      <c r="N125" s="178"/>
      <c r="O125" s="178"/>
      <c r="P125" s="178"/>
      <c r="Q125" s="179"/>
    </row>
    <row r="126" spans="1:17" s="50" customFormat="1" ht="25" customHeight="1">
      <c r="A126" s="274" t="s">
        <v>234</v>
      </c>
      <c r="B126" s="275" t="s">
        <v>155</v>
      </c>
      <c r="C126" s="276"/>
      <c r="D126" s="276"/>
      <c r="E126" s="276"/>
      <c r="F126" s="268">
        <f t="shared" ref="F126:K126" si="13">SUM(F96:F125)</f>
        <v>3905.8500000000008</v>
      </c>
      <c r="G126" s="172">
        <f t="shared" si="13"/>
        <v>1319</v>
      </c>
      <c r="H126" s="172">
        <f t="shared" si="13"/>
        <v>12079.56</v>
      </c>
      <c r="I126" s="172">
        <f t="shared" si="13"/>
        <v>3707.8500000000008</v>
      </c>
      <c r="J126" s="172">
        <f t="shared" si="13"/>
        <v>198</v>
      </c>
      <c r="K126" s="172">
        <f t="shared" si="13"/>
        <v>0</v>
      </c>
      <c r="L126" s="178"/>
      <c r="M126" s="178"/>
      <c r="N126" s="178"/>
      <c r="O126" s="178"/>
      <c r="P126" s="178"/>
      <c r="Q126" s="179"/>
    </row>
    <row r="127" spans="1:17" s="50" customFormat="1" ht="25" customHeight="1">
      <c r="A127" s="274"/>
      <c r="B127" s="286" t="s">
        <v>375</v>
      </c>
      <c r="C127" s="276">
        <v>4</v>
      </c>
      <c r="D127" s="276">
        <v>1.4</v>
      </c>
      <c r="E127" s="276">
        <v>6</v>
      </c>
      <c r="F127" s="268"/>
      <c r="G127" s="172"/>
      <c r="H127" s="172"/>
      <c r="I127" s="172"/>
      <c r="J127" s="172"/>
      <c r="K127" s="172"/>
      <c r="L127" s="178"/>
      <c r="M127" s="178"/>
      <c r="N127" s="178"/>
      <c r="O127" s="178"/>
      <c r="P127" s="178"/>
      <c r="Q127" s="179"/>
    </row>
    <row r="128" spans="1:17" s="50" customFormat="1" ht="25" customHeight="1">
      <c r="A128" s="277">
        <v>2</v>
      </c>
      <c r="B128" s="277" t="s">
        <v>494</v>
      </c>
      <c r="C128" s="276"/>
      <c r="D128" s="276"/>
      <c r="E128" s="276"/>
      <c r="F128" s="196"/>
      <c r="G128" s="198">
        <v>70</v>
      </c>
      <c r="H128" s="268"/>
      <c r="I128" s="268"/>
      <c r="J128" s="197">
        <v>5</v>
      </c>
      <c r="K128" s="176"/>
      <c r="L128" s="178"/>
      <c r="M128" s="178"/>
      <c r="N128" s="178"/>
      <c r="O128" s="178"/>
      <c r="P128" s="178"/>
      <c r="Q128" s="1872" t="s">
        <v>520</v>
      </c>
    </row>
    <row r="129" spans="1:17" s="50" customFormat="1" ht="25" customHeight="1">
      <c r="A129" s="278" t="s">
        <v>145</v>
      </c>
      <c r="B129" s="279" t="s">
        <v>163</v>
      </c>
      <c r="C129" s="276"/>
      <c r="D129" s="276"/>
      <c r="E129" s="276"/>
      <c r="F129" s="196"/>
      <c r="G129" s="198">
        <v>70</v>
      </c>
      <c r="H129" s="268"/>
      <c r="I129" s="268"/>
      <c r="J129" s="197">
        <v>5</v>
      </c>
      <c r="K129" s="176"/>
      <c r="L129" s="178"/>
      <c r="M129" s="178"/>
      <c r="N129" s="178"/>
      <c r="O129" s="178"/>
      <c r="P129" s="178"/>
      <c r="Q129" s="1872"/>
    </row>
    <row r="130" spans="1:17" s="50" customFormat="1" ht="25" customHeight="1">
      <c r="A130" s="275" t="s">
        <v>224</v>
      </c>
      <c r="B130" s="280" t="s">
        <v>602</v>
      </c>
      <c r="C130" s="276">
        <v>3</v>
      </c>
      <c r="D130" s="276">
        <v>1</v>
      </c>
      <c r="E130" s="276">
        <v>1</v>
      </c>
      <c r="F130" s="180"/>
      <c r="G130" s="198">
        <v>70</v>
      </c>
      <c r="H130" s="176"/>
      <c r="I130" s="176"/>
      <c r="J130" s="197">
        <v>5</v>
      </c>
      <c r="K130" s="176"/>
      <c r="L130" s="176"/>
      <c r="M130" s="178"/>
      <c r="N130" s="178"/>
      <c r="O130" s="178"/>
      <c r="P130" s="178"/>
      <c r="Q130" s="1872"/>
    </row>
    <row r="131" spans="1:17" s="50" customFormat="1" ht="25" customHeight="1">
      <c r="A131" s="275" t="s">
        <v>225</v>
      </c>
      <c r="B131" s="280" t="s">
        <v>603</v>
      </c>
      <c r="C131" s="276">
        <v>3</v>
      </c>
      <c r="D131" s="276">
        <v>1</v>
      </c>
      <c r="E131" s="276">
        <v>1</v>
      </c>
      <c r="F131" s="180"/>
      <c r="G131" s="198">
        <v>70</v>
      </c>
      <c r="H131" s="176"/>
      <c r="I131" s="176"/>
      <c r="J131" s="197">
        <v>5</v>
      </c>
      <c r="K131" s="176"/>
      <c r="L131" s="176"/>
      <c r="M131" s="178"/>
      <c r="N131" s="178"/>
      <c r="O131" s="178"/>
      <c r="P131" s="178"/>
      <c r="Q131" s="1872"/>
    </row>
    <row r="132" spans="1:17" s="50" customFormat="1" ht="25" customHeight="1">
      <c r="A132" s="275" t="s">
        <v>226</v>
      </c>
      <c r="B132" s="280" t="s">
        <v>604</v>
      </c>
      <c r="C132" s="276">
        <v>3</v>
      </c>
      <c r="D132" s="276">
        <v>1</v>
      </c>
      <c r="E132" s="276">
        <v>1</v>
      </c>
      <c r="F132" s="180"/>
      <c r="G132" s="198">
        <v>70</v>
      </c>
      <c r="H132" s="176"/>
      <c r="I132" s="176"/>
      <c r="J132" s="197">
        <v>5</v>
      </c>
      <c r="K132" s="176"/>
      <c r="L132" s="176"/>
      <c r="M132" s="178"/>
      <c r="N132" s="178"/>
      <c r="O132" s="178"/>
      <c r="P132" s="178"/>
      <c r="Q132" s="1872"/>
    </row>
    <row r="133" spans="1:17" s="50" customFormat="1" ht="25" customHeight="1">
      <c r="A133" s="275" t="s">
        <v>227</v>
      </c>
      <c r="B133" s="280" t="s">
        <v>605</v>
      </c>
      <c r="C133" s="276">
        <v>3</v>
      </c>
      <c r="D133" s="276">
        <v>1</v>
      </c>
      <c r="E133" s="276">
        <v>1</v>
      </c>
      <c r="F133" s="180"/>
      <c r="G133" s="198">
        <v>70</v>
      </c>
      <c r="H133" s="176"/>
      <c r="I133" s="176"/>
      <c r="J133" s="197">
        <v>5</v>
      </c>
      <c r="K133" s="176"/>
      <c r="L133" s="176"/>
      <c r="M133" s="178"/>
      <c r="N133" s="178"/>
      <c r="O133" s="178"/>
      <c r="P133" s="178"/>
      <c r="Q133" s="1872"/>
    </row>
    <row r="134" spans="1:17" s="50" customFormat="1" ht="25" customHeight="1">
      <c r="A134" s="275" t="s">
        <v>228</v>
      </c>
      <c r="B134" s="275" t="s">
        <v>493</v>
      </c>
      <c r="C134" s="276">
        <v>3</v>
      </c>
      <c r="D134" s="276">
        <v>1</v>
      </c>
      <c r="E134" s="276">
        <v>1</v>
      </c>
      <c r="F134" s="180"/>
      <c r="G134" s="198">
        <v>70</v>
      </c>
      <c r="H134" s="176"/>
      <c r="I134" s="176"/>
      <c r="J134" s="197">
        <v>5</v>
      </c>
      <c r="K134" s="176"/>
      <c r="L134" s="176"/>
      <c r="M134" s="178"/>
      <c r="N134" s="178"/>
      <c r="O134" s="178"/>
      <c r="P134" s="178"/>
      <c r="Q134" s="1872"/>
    </row>
    <row r="135" spans="1:17" s="50" customFormat="1" ht="25" customHeight="1">
      <c r="A135" s="275" t="s">
        <v>229</v>
      </c>
      <c r="B135" s="281" t="s">
        <v>606</v>
      </c>
      <c r="C135" s="276">
        <v>3</v>
      </c>
      <c r="D135" s="276">
        <v>1</v>
      </c>
      <c r="E135" s="276">
        <v>1</v>
      </c>
      <c r="F135" s="186"/>
      <c r="G135" s="186"/>
      <c r="H135" s="186"/>
      <c r="I135" s="172"/>
      <c r="J135" s="172"/>
      <c r="K135" s="172"/>
      <c r="L135" s="178"/>
      <c r="M135" s="178"/>
      <c r="N135" s="178"/>
      <c r="O135" s="178"/>
      <c r="P135" s="178"/>
      <c r="Q135" s="179"/>
    </row>
    <row r="136" spans="1:17" s="50" customFormat="1" ht="25" customHeight="1">
      <c r="A136" s="274" t="s">
        <v>280</v>
      </c>
      <c r="B136" s="281" t="s">
        <v>607</v>
      </c>
      <c r="C136" s="276">
        <v>3</v>
      </c>
      <c r="D136" s="276">
        <v>1</v>
      </c>
      <c r="E136" s="276">
        <v>1</v>
      </c>
      <c r="F136" s="186"/>
      <c r="G136" s="186"/>
      <c r="H136" s="186"/>
      <c r="I136" s="172"/>
      <c r="J136" s="172"/>
      <c r="K136" s="172"/>
      <c r="L136" s="178"/>
      <c r="M136" s="178"/>
      <c r="N136" s="178"/>
      <c r="O136" s="178"/>
      <c r="P136" s="178"/>
      <c r="Q136" s="179"/>
    </row>
    <row r="137" spans="1:17" s="50" customFormat="1" ht="25" customHeight="1">
      <c r="A137" s="274"/>
      <c r="B137" s="281"/>
      <c r="C137" s="276">
        <f>SUM(C130:C136)</f>
        <v>21</v>
      </c>
      <c r="D137" s="276">
        <f>SUM(D130:D136)</f>
        <v>7</v>
      </c>
      <c r="E137" s="276">
        <f>SUM(E130:E136)</f>
        <v>7</v>
      </c>
      <c r="F137" s="180">
        <f t="shared" ref="F137:F145" si="14">I137+J137+K137</f>
        <v>3638.25</v>
      </c>
      <c r="G137" s="200">
        <v>13</v>
      </c>
      <c r="H137" s="268">
        <f>C137*D137*E137*G137</f>
        <v>13377</v>
      </c>
      <c r="I137" s="177">
        <f>IF(G137&lt;70, C137*E137*16.5*1.5, C137*E137*16.5*1.5)</f>
        <v>3638.25</v>
      </c>
      <c r="J137" s="172"/>
      <c r="K137" s="172"/>
      <c r="L137" s="178"/>
      <c r="M137" s="178"/>
      <c r="N137" s="178"/>
      <c r="O137" s="178"/>
      <c r="P137" s="178"/>
      <c r="Q137" s="179"/>
    </row>
    <row r="138" spans="1:17" s="50" customFormat="1" ht="25" customHeight="1">
      <c r="A138" s="282" t="s">
        <v>146</v>
      </c>
      <c r="B138" s="283" t="s">
        <v>465</v>
      </c>
      <c r="C138" s="276"/>
      <c r="D138" s="276"/>
      <c r="E138" s="276"/>
      <c r="F138" s="180">
        <f t="shared" si="14"/>
        <v>0</v>
      </c>
      <c r="G138" s="200">
        <v>13</v>
      </c>
      <c r="H138" s="268">
        <f t="shared" ref="H138:H143" si="15">C138*D138*E138*G138</f>
        <v>0</v>
      </c>
      <c r="I138" s="177">
        <f t="shared" ref="I138:I143" si="16">IF(G138&lt;70, C138*E138*16.5*1.5, C138*E138*16.5*1.5)</f>
        <v>0</v>
      </c>
      <c r="J138" s="172"/>
      <c r="K138" s="172"/>
      <c r="L138" s="178"/>
      <c r="M138" s="178"/>
      <c r="N138" s="178"/>
      <c r="O138" s="178"/>
      <c r="P138" s="178"/>
      <c r="Q138" s="179"/>
    </row>
    <row r="139" spans="1:17" s="50" customFormat="1" ht="25" customHeight="1">
      <c r="A139" s="282"/>
      <c r="B139" s="275" t="s">
        <v>608</v>
      </c>
      <c r="C139" s="276">
        <v>15</v>
      </c>
      <c r="D139" s="276">
        <v>1</v>
      </c>
      <c r="E139" s="276">
        <v>1</v>
      </c>
      <c r="F139" s="180">
        <f t="shared" si="14"/>
        <v>371.25</v>
      </c>
      <c r="G139" s="200">
        <v>13</v>
      </c>
      <c r="H139" s="268">
        <f t="shared" si="15"/>
        <v>195</v>
      </c>
      <c r="I139" s="177">
        <f t="shared" si="16"/>
        <v>371.25</v>
      </c>
      <c r="J139" s="172"/>
      <c r="K139" s="172"/>
      <c r="L139" s="178"/>
      <c r="M139" s="178"/>
      <c r="N139" s="178"/>
      <c r="O139" s="178"/>
      <c r="P139" s="178"/>
      <c r="Q139" s="179"/>
    </row>
    <row r="140" spans="1:17" s="50" customFormat="1" ht="25" customHeight="1">
      <c r="A140" s="274"/>
      <c r="B140" s="284" t="s">
        <v>375</v>
      </c>
      <c r="C140" s="276">
        <f>SUM(C130:C139)</f>
        <v>57</v>
      </c>
      <c r="D140" s="276">
        <f>SUM(D130:D139)</f>
        <v>15</v>
      </c>
      <c r="E140" s="276">
        <f>SUM(E130:E139)</f>
        <v>15</v>
      </c>
      <c r="F140" s="180">
        <f t="shared" si="14"/>
        <v>21161.25</v>
      </c>
      <c r="G140" s="200">
        <v>13</v>
      </c>
      <c r="H140" s="268">
        <f t="shared" si="15"/>
        <v>166725</v>
      </c>
      <c r="I140" s="177">
        <f t="shared" si="16"/>
        <v>21161.25</v>
      </c>
      <c r="J140" s="172"/>
      <c r="K140" s="172"/>
      <c r="L140" s="178"/>
      <c r="M140" s="178"/>
      <c r="N140" s="178"/>
      <c r="O140" s="178"/>
      <c r="P140" s="178"/>
      <c r="Q140" s="179"/>
    </row>
    <row r="141" spans="1:17" s="50" customFormat="1" ht="25" customHeight="1">
      <c r="A141" s="277">
        <v>1</v>
      </c>
      <c r="B141" s="279" t="s">
        <v>223</v>
      </c>
      <c r="C141" s="276"/>
      <c r="D141" s="276"/>
      <c r="E141" s="276"/>
      <c r="F141" s="180">
        <f t="shared" si="14"/>
        <v>0</v>
      </c>
      <c r="G141" s="200">
        <v>13</v>
      </c>
      <c r="H141" s="268">
        <f>C141*D141*E141*G141</f>
        <v>0</v>
      </c>
      <c r="I141" s="177">
        <f t="shared" si="16"/>
        <v>0</v>
      </c>
      <c r="J141" s="172"/>
      <c r="K141" s="172"/>
      <c r="L141" s="178"/>
      <c r="M141" s="178"/>
      <c r="N141" s="178"/>
      <c r="O141" s="178"/>
      <c r="P141" s="178"/>
      <c r="Q141" s="179"/>
    </row>
    <row r="142" spans="1:17" s="50" customFormat="1" ht="25" customHeight="1">
      <c r="A142" s="277" t="s">
        <v>376</v>
      </c>
      <c r="B142" s="279" t="s">
        <v>161</v>
      </c>
      <c r="C142" s="276"/>
      <c r="D142" s="276"/>
      <c r="E142" s="276"/>
      <c r="F142" s="180">
        <f t="shared" si="14"/>
        <v>0</v>
      </c>
      <c r="G142" s="200">
        <v>13</v>
      </c>
      <c r="H142" s="268">
        <f t="shared" si="15"/>
        <v>0</v>
      </c>
      <c r="I142" s="177">
        <f t="shared" si="16"/>
        <v>0</v>
      </c>
      <c r="J142" s="172"/>
      <c r="K142" s="172"/>
      <c r="L142" s="178"/>
      <c r="M142" s="178"/>
      <c r="N142" s="178"/>
      <c r="O142" s="178"/>
      <c r="P142" s="178"/>
      <c r="Q142" s="179"/>
    </row>
    <row r="143" spans="1:17" s="50" customFormat="1" ht="25" customHeight="1">
      <c r="A143" s="274" t="s">
        <v>226</v>
      </c>
      <c r="B143" s="285" t="s">
        <v>609</v>
      </c>
      <c r="C143" s="276">
        <v>3</v>
      </c>
      <c r="D143" s="276">
        <v>1</v>
      </c>
      <c r="E143" s="276">
        <v>7</v>
      </c>
      <c r="F143" s="180">
        <f t="shared" si="14"/>
        <v>519.75</v>
      </c>
      <c r="G143" s="200">
        <v>13</v>
      </c>
      <c r="H143" s="268">
        <f t="shared" si="15"/>
        <v>273</v>
      </c>
      <c r="I143" s="177">
        <f t="shared" si="16"/>
        <v>519.75</v>
      </c>
      <c r="J143" s="172"/>
      <c r="K143" s="172"/>
      <c r="L143" s="178"/>
      <c r="M143" s="178"/>
      <c r="N143" s="178"/>
      <c r="O143" s="178"/>
      <c r="P143" s="178"/>
      <c r="Q143" s="179"/>
    </row>
    <row r="144" spans="1:17" s="50" customFormat="1" ht="25" customHeight="1">
      <c r="A144" s="274" t="s">
        <v>227</v>
      </c>
      <c r="B144" s="285" t="s">
        <v>610</v>
      </c>
      <c r="C144" s="276">
        <v>3</v>
      </c>
      <c r="D144" s="276">
        <v>1</v>
      </c>
      <c r="E144" s="276">
        <v>7</v>
      </c>
      <c r="F144" s="186"/>
      <c r="G144" s="186"/>
      <c r="H144" s="186"/>
      <c r="I144" s="203"/>
      <c r="J144" s="203"/>
      <c r="K144" s="172"/>
      <c r="L144" s="178"/>
      <c r="M144" s="178"/>
      <c r="N144" s="178"/>
      <c r="O144" s="178"/>
      <c r="P144" s="178"/>
      <c r="Q144" s="179"/>
    </row>
    <row r="145" spans="1:17" s="50" customFormat="1" ht="25" customHeight="1">
      <c r="A145" s="274" t="s">
        <v>228</v>
      </c>
      <c r="B145" s="285" t="s">
        <v>611</v>
      </c>
      <c r="C145" s="276">
        <v>2</v>
      </c>
      <c r="D145" s="276">
        <v>1</v>
      </c>
      <c r="E145" s="276">
        <v>10</v>
      </c>
      <c r="F145" s="180">
        <f t="shared" si="14"/>
        <v>14700</v>
      </c>
      <c r="G145" s="186">
        <v>42</v>
      </c>
      <c r="H145" s="268">
        <f>C145*D145*E145*G145</f>
        <v>840</v>
      </c>
      <c r="I145" s="177">
        <f>E145*G145*35</f>
        <v>14700</v>
      </c>
      <c r="J145" s="203"/>
      <c r="K145" s="172"/>
      <c r="L145" s="178"/>
      <c r="M145" s="178"/>
      <c r="N145" s="178"/>
      <c r="O145" s="178"/>
      <c r="P145" s="178"/>
      <c r="Q145" s="179"/>
    </row>
    <row r="146" spans="1:17" s="50" customFormat="1" ht="25" customHeight="1">
      <c r="A146" s="274" t="s">
        <v>229</v>
      </c>
      <c r="B146" s="285" t="s">
        <v>612</v>
      </c>
      <c r="C146" s="276">
        <v>3</v>
      </c>
      <c r="D146" s="276">
        <v>1</v>
      </c>
      <c r="E146" s="276">
        <v>16</v>
      </c>
      <c r="F146" s="186">
        <f>SUM(F137:F145)</f>
        <v>40390.5</v>
      </c>
      <c r="G146" s="204">
        <f>SUM(G137:G145)</f>
        <v>133</v>
      </c>
      <c r="H146" s="204">
        <f>SUM(H137:H145)</f>
        <v>181410</v>
      </c>
      <c r="I146" s="204">
        <f>SUM(I137:I145)</f>
        <v>40390.5</v>
      </c>
      <c r="J146" s="172">
        <v>0</v>
      </c>
      <c r="K146" s="172">
        <v>0</v>
      </c>
      <c r="L146" s="178"/>
      <c r="M146" s="178"/>
      <c r="N146" s="178"/>
      <c r="O146" s="178"/>
      <c r="P146" s="178"/>
      <c r="Q146" s="179"/>
    </row>
    <row r="147" spans="1:17" s="50" customFormat="1" ht="25" customHeight="1">
      <c r="A147" s="274" t="s">
        <v>280</v>
      </c>
      <c r="B147" s="285" t="s">
        <v>613</v>
      </c>
      <c r="C147" s="276">
        <v>2</v>
      </c>
      <c r="D147" s="276">
        <v>1</v>
      </c>
      <c r="E147" s="276">
        <v>10</v>
      </c>
      <c r="F147" s="186"/>
      <c r="G147" s="186"/>
      <c r="H147" s="186"/>
      <c r="I147" s="203"/>
      <c r="J147" s="178"/>
      <c r="K147" s="178"/>
      <c r="L147" s="178"/>
      <c r="M147" s="178"/>
      <c r="N147" s="178"/>
      <c r="O147" s="178"/>
      <c r="P147" s="178"/>
      <c r="Q147" s="179"/>
    </row>
    <row r="148" spans="1:17" s="50" customFormat="1" ht="25" customHeight="1">
      <c r="A148" s="274" t="s">
        <v>282</v>
      </c>
      <c r="B148" s="281" t="s">
        <v>614</v>
      </c>
      <c r="C148" s="276">
        <v>3</v>
      </c>
      <c r="D148" s="276">
        <v>1</v>
      </c>
      <c r="E148" s="276">
        <v>10</v>
      </c>
      <c r="F148" s="186"/>
      <c r="G148" s="186"/>
      <c r="H148" s="186"/>
      <c r="I148" s="203"/>
      <c r="J148" s="178"/>
      <c r="K148" s="178"/>
      <c r="L148" s="178"/>
      <c r="M148" s="178"/>
      <c r="N148" s="178"/>
      <c r="O148" s="178"/>
      <c r="P148" s="178"/>
      <c r="Q148" s="179"/>
    </row>
    <row r="149" spans="1:17" s="50" customFormat="1" ht="25" customHeight="1">
      <c r="A149" s="274" t="s">
        <v>284</v>
      </c>
      <c r="B149" s="275" t="s">
        <v>615</v>
      </c>
      <c r="C149" s="276">
        <v>3</v>
      </c>
      <c r="D149" s="276">
        <v>1</v>
      </c>
      <c r="E149" s="276">
        <v>10</v>
      </c>
      <c r="F149" s="180">
        <f t="shared" ref="F149:F163" si="17">I149+J149+K149</f>
        <v>643.5</v>
      </c>
      <c r="G149" s="200">
        <v>70</v>
      </c>
      <c r="H149" s="268">
        <f t="shared" ref="H149:H163" si="18">C149*D149*E149*G149</f>
        <v>2100</v>
      </c>
      <c r="I149" s="177">
        <f>IF(G149&lt;70, C149*E149*16.5*1, C149*E149*16.5*1.3)</f>
        <v>643.5</v>
      </c>
      <c r="J149" s="178"/>
      <c r="K149" s="178"/>
      <c r="L149" s="178"/>
      <c r="M149" s="178"/>
      <c r="N149" s="178"/>
      <c r="O149" s="178"/>
      <c r="P149" s="178"/>
      <c r="Q149" s="179"/>
    </row>
    <row r="150" spans="1:17" s="50" customFormat="1" ht="25" customHeight="1">
      <c r="A150" s="274" t="s">
        <v>287</v>
      </c>
      <c r="B150" s="275" t="s">
        <v>383</v>
      </c>
      <c r="C150" s="276">
        <v>3</v>
      </c>
      <c r="D150" s="276">
        <v>1</v>
      </c>
      <c r="E150" s="276">
        <v>16</v>
      </c>
      <c r="F150" s="180">
        <f t="shared" si="17"/>
        <v>1029.6000000000001</v>
      </c>
      <c r="G150" s="200">
        <v>70</v>
      </c>
      <c r="H150" s="268">
        <f t="shared" si="18"/>
        <v>3360</v>
      </c>
      <c r="I150" s="177">
        <f t="shared" ref="I150:I163" si="19">IF(G150&lt;70, C150*E150*16.5*1, C150*E150*16.5*1.3)</f>
        <v>1029.6000000000001</v>
      </c>
      <c r="J150" s="178"/>
      <c r="K150" s="178"/>
      <c r="L150" s="178"/>
      <c r="M150" s="178"/>
      <c r="N150" s="178"/>
      <c r="O150" s="178"/>
      <c r="P150" s="178"/>
      <c r="Q150" s="179"/>
    </row>
    <row r="151" spans="1:17" s="50" customFormat="1" ht="25" customHeight="1">
      <c r="A151" s="274" t="s">
        <v>288</v>
      </c>
      <c r="B151" s="275" t="s">
        <v>616</v>
      </c>
      <c r="C151" s="276">
        <v>4</v>
      </c>
      <c r="D151" s="276">
        <v>1</v>
      </c>
      <c r="E151" s="276">
        <v>10</v>
      </c>
      <c r="F151" s="180">
        <f t="shared" si="17"/>
        <v>858</v>
      </c>
      <c r="G151" s="200">
        <v>70</v>
      </c>
      <c r="H151" s="268">
        <f t="shared" si="18"/>
        <v>2800</v>
      </c>
      <c r="I151" s="177">
        <f t="shared" si="19"/>
        <v>858</v>
      </c>
      <c r="J151" s="178"/>
      <c r="K151" s="178"/>
      <c r="L151" s="178"/>
      <c r="M151" s="178"/>
      <c r="N151" s="178"/>
      <c r="O151" s="178"/>
      <c r="P151" s="178"/>
      <c r="Q151" s="179"/>
    </row>
    <row r="152" spans="1:17" s="50" customFormat="1" ht="25" customHeight="1">
      <c r="A152" s="274" t="s">
        <v>289</v>
      </c>
      <c r="B152" s="275" t="s">
        <v>617</v>
      </c>
      <c r="C152" s="276">
        <v>4</v>
      </c>
      <c r="D152" s="276">
        <v>1</v>
      </c>
      <c r="E152" s="276">
        <v>8</v>
      </c>
      <c r="F152" s="180">
        <f t="shared" si="17"/>
        <v>686.4</v>
      </c>
      <c r="G152" s="200">
        <v>70</v>
      </c>
      <c r="H152" s="268">
        <f t="shared" si="18"/>
        <v>2240</v>
      </c>
      <c r="I152" s="177">
        <f t="shared" si="19"/>
        <v>686.4</v>
      </c>
      <c r="J152" s="178"/>
      <c r="K152" s="178"/>
      <c r="L152" s="178"/>
      <c r="M152" s="178"/>
      <c r="N152" s="178"/>
      <c r="O152" s="178"/>
      <c r="P152" s="178"/>
      <c r="Q152" s="179"/>
    </row>
    <row r="153" spans="1:17" s="50" customFormat="1" ht="25" customHeight="1">
      <c r="A153" s="274" t="s">
        <v>290</v>
      </c>
      <c r="B153" s="275" t="s">
        <v>618</v>
      </c>
      <c r="C153" s="276">
        <v>4</v>
      </c>
      <c r="D153" s="276">
        <v>1</v>
      </c>
      <c r="E153" s="276">
        <v>8</v>
      </c>
      <c r="F153" s="180">
        <f t="shared" si="17"/>
        <v>686.4</v>
      </c>
      <c r="G153" s="200">
        <v>70</v>
      </c>
      <c r="H153" s="268">
        <f t="shared" si="18"/>
        <v>2240</v>
      </c>
      <c r="I153" s="177">
        <f t="shared" si="19"/>
        <v>686.4</v>
      </c>
      <c r="J153" s="197"/>
      <c r="K153" s="197"/>
      <c r="L153" s="197"/>
      <c r="M153" s="197"/>
      <c r="N153" s="197"/>
      <c r="O153" s="197"/>
      <c r="P153" s="197"/>
      <c r="Q153" s="180"/>
    </row>
    <row r="154" spans="1:17" s="50" customFormat="1" ht="25" customHeight="1">
      <c r="A154" s="202" t="s">
        <v>229</v>
      </c>
      <c r="B154" s="205" t="s">
        <v>377</v>
      </c>
      <c r="C154" s="200">
        <v>4</v>
      </c>
      <c r="D154" s="200">
        <v>1</v>
      </c>
      <c r="E154" s="200">
        <v>16</v>
      </c>
      <c r="F154" s="180">
        <f t="shared" si="17"/>
        <v>1372.8</v>
      </c>
      <c r="G154" s="200">
        <v>70</v>
      </c>
      <c r="H154" s="268">
        <f t="shared" si="18"/>
        <v>4480</v>
      </c>
      <c r="I154" s="177">
        <f t="shared" si="19"/>
        <v>1372.8</v>
      </c>
      <c r="J154" s="197"/>
      <c r="K154" s="197"/>
      <c r="L154" s="197"/>
      <c r="M154" s="197"/>
      <c r="N154" s="197"/>
      <c r="O154" s="197"/>
      <c r="P154" s="197"/>
      <c r="Q154" s="180"/>
    </row>
    <row r="155" spans="1:17" s="50" customFormat="1" ht="25" customHeight="1">
      <c r="A155" s="202" t="s">
        <v>280</v>
      </c>
      <c r="B155" s="205" t="s">
        <v>378</v>
      </c>
      <c r="C155" s="200">
        <v>2</v>
      </c>
      <c r="D155" s="200">
        <v>1</v>
      </c>
      <c r="E155" s="200">
        <v>16</v>
      </c>
      <c r="F155" s="180">
        <f t="shared" si="17"/>
        <v>686.4</v>
      </c>
      <c r="G155" s="200">
        <v>80</v>
      </c>
      <c r="H155" s="268">
        <f t="shared" si="18"/>
        <v>2560</v>
      </c>
      <c r="I155" s="177">
        <f t="shared" si="19"/>
        <v>686.4</v>
      </c>
      <c r="J155" s="197"/>
      <c r="K155" s="197"/>
      <c r="L155" s="197"/>
      <c r="M155" s="197"/>
      <c r="N155" s="197"/>
      <c r="O155" s="197"/>
      <c r="P155" s="197"/>
      <c r="Q155" s="180"/>
    </row>
    <row r="156" spans="1:17" s="50" customFormat="1" ht="25" customHeight="1">
      <c r="A156" s="202" t="s">
        <v>281</v>
      </c>
      <c r="B156" s="205" t="s">
        <v>379</v>
      </c>
      <c r="C156" s="200">
        <v>4</v>
      </c>
      <c r="D156" s="200">
        <v>1</v>
      </c>
      <c r="E156" s="200">
        <v>16</v>
      </c>
      <c r="F156" s="180">
        <f t="shared" si="17"/>
        <v>1372.8</v>
      </c>
      <c r="G156" s="200">
        <v>70</v>
      </c>
      <c r="H156" s="268">
        <f t="shared" si="18"/>
        <v>4480</v>
      </c>
      <c r="I156" s="177">
        <f t="shared" si="19"/>
        <v>1372.8</v>
      </c>
      <c r="J156" s="197"/>
      <c r="K156" s="197"/>
      <c r="L156" s="197"/>
      <c r="M156" s="197"/>
      <c r="N156" s="197"/>
      <c r="O156" s="197"/>
      <c r="P156" s="197"/>
      <c r="Q156" s="180"/>
    </row>
    <row r="157" spans="1:17" s="50" customFormat="1" ht="25" customHeight="1">
      <c r="A157" s="202" t="s">
        <v>282</v>
      </c>
      <c r="B157" s="201" t="s">
        <v>380</v>
      </c>
      <c r="C157" s="200">
        <v>3</v>
      </c>
      <c r="D157" s="200">
        <v>1</v>
      </c>
      <c r="E157" s="200">
        <v>16</v>
      </c>
      <c r="F157" s="180">
        <f t="shared" si="17"/>
        <v>1029.6000000000001</v>
      </c>
      <c r="G157" s="200">
        <v>70</v>
      </c>
      <c r="H157" s="268">
        <f t="shared" si="18"/>
        <v>3360</v>
      </c>
      <c r="I157" s="177">
        <f t="shared" si="19"/>
        <v>1029.6000000000001</v>
      </c>
      <c r="J157" s="197"/>
      <c r="K157" s="197"/>
      <c r="L157" s="197"/>
      <c r="M157" s="197"/>
      <c r="N157" s="197"/>
      <c r="O157" s="197"/>
      <c r="P157" s="197"/>
      <c r="Q157" s="180"/>
    </row>
    <row r="158" spans="1:17" s="50" customFormat="1" ht="25" customHeight="1">
      <c r="A158" s="202" t="s">
        <v>283</v>
      </c>
      <c r="B158" s="201" t="s">
        <v>381</v>
      </c>
      <c r="C158" s="200">
        <v>3</v>
      </c>
      <c r="D158" s="200">
        <v>1</v>
      </c>
      <c r="E158" s="200">
        <v>16</v>
      </c>
      <c r="F158" s="180">
        <f t="shared" si="17"/>
        <v>1029.6000000000001</v>
      </c>
      <c r="G158" s="200">
        <v>70</v>
      </c>
      <c r="H158" s="268">
        <f t="shared" si="18"/>
        <v>3360</v>
      </c>
      <c r="I158" s="177">
        <f t="shared" si="19"/>
        <v>1029.6000000000001</v>
      </c>
      <c r="J158" s="197"/>
      <c r="K158" s="197"/>
      <c r="L158" s="197"/>
      <c r="M158" s="197"/>
      <c r="N158" s="197"/>
      <c r="O158" s="197"/>
      <c r="P158" s="197"/>
      <c r="Q158" s="180"/>
    </row>
    <row r="159" spans="1:17" s="50" customFormat="1" ht="25" customHeight="1">
      <c r="A159" s="202" t="s">
        <v>284</v>
      </c>
      <c r="B159" s="199" t="s">
        <v>382</v>
      </c>
      <c r="C159" s="200">
        <v>3</v>
      </c>
      <c r="D159" s="200">
        <v>1</v>
      </c>
      <c r="E159" s="200">
        <v>16</v>
      </c>
      <c r="F159" s="180">
        <f t="shared" si="17"/>
        <v>1029.6000000000001</v>
      </c>
      <c r="G159" s="200">
        <v>70</v>
      </c>
      <c r="H159" s="268">
        <f t="shared" si="18"/>
        <v>3360</v>
      </c>
      <c r="I159" s="177">
        <f t="shared" si="19"/>
        <v>1029.6000000000001</v>
      </c>
      <c r="J159" s="197"/>
      <c r="K159" s="197"/>
      <c r="L159" s="197"/>
      <c r="M159" s="197"/>
      <c r="N159" s="197"/>
      <c r="O159" s="197"/>
      <c r="P159" s="197"/>
      <c r="Q159" s="180"/>
    </row>
    <row r="160" spans="1:17" s="50" customFormat="1" ht="25" customHeight="1">
      <c r="A160" s="202" t="s">
        <v>287</v>
      </c>
      <c r="B160" s="199" t="s">
        <v>383</v>
      </c>
      <c r="C160" s="200">
        <v>3</v>
      </c>
      <c r="D160" s="200">
        <v>1</v>
      </c>
      <c r="E160" s="200">
        <v>16</v>
      </c>
      <c r="F160" s="180">
        <f t="shared" si="17"/>
        <v>1029.6000000000001</v>
      </c>
      <c r="G160" s="200">
        <v>70</v>
      </c>
      <c r="H160" s="268">
        <f t="shared" si="18"/>
        <v>3360</v>
      </c>
      <c r="I160" s="177">
        <f t="shared" si="19"/>
        <v>1029.6000000000001</v>
      </c>
      <c r="J160" s="197"/>
      <c r="K160" s="197"/>
      <c r="L160" s="197"/>
      <c r="M160" s="197"/>
      <c r="N160" s="197"/>
      <c r="O160" s="197"/>
      <c r="P160" s="197"/>
      <c r="Q160" s="180"/>
    </row>
    <row r="161" spans="1:17" s="50" customFormat="1" ht="25" customHeight="1">
      <c r="A161" s="202" t="s">
        <v>288</v>
      </c>
      <c r="B161" s="199" t="s">
        <v>384</v>
      </c>
      <c r="C161" s="200">
        <v>4</v>
      </c>
      <c r="D161" s="200">
        <v>1</v>
      </c>
      <c r="E161" s="200">
        <v>10</v>
      </c>
      <c r="F161" s="180">
        <f t="shared" si="17"/>
        <v>858</v>
      </c>
      <c r="G161" s="200">
        <v>70</v>
      </c>
      <c r="H161" s="268">
        <f t="shared" si="18"/>
        <v>2800</v>
      </c>
      <c r="I161" s="177">
        <f t="shared" si="19"/>
        <v>858</v>
      </c>
      <c r="J161" s="197"/>
      <c r="K161" s="197"/>
      <c r="L161" s="197"/>
      <c r="M161" s="197"/>
      <c r="N161" s="197"/>
      <c r="O161" s="197"/>
      <c r="P161" s="197"/>
      <c r="Q161" s="180"/>
    </row>
    <row r="162" spans="1:17" s="50" customFormat="1" ht="25" customHeight="1">
      <c r="A162" s="202" t="s">
        <v>289</v>
      </c>
      <c r="B162" s="199" t="s">
        <v>385</v>
      </c>
      <c r="C162" s="200">
        <v>4</v>
      </c>
      <c r="D162" s="200">
        <v>1</v>
      </c>
      <c r="E162" s="200">
        <v>13</v>
      </c>
      <c r="F162" s="180">
        <f t="shared" si="17"/>
        <v>1115.4000000000001</v>
      </c>
      <c r="G162" s="200">
        <v>70</v>
      </c>
      <c r="H162" s="268">
        <f t="shared" si="18"/>
        <v>3640</v>
      </c>
      <c r="I162" s="177">
        <f t="shared" si="19"/>
        <v>1115.4000000000001</v>
      </c>
      <c r="J162" s="197"/>
      <c r="K162" s="197"/>
      <c r="L162" s="197"/>
      <c r="M162" s="197"/>
      <c r="N162" s="197"/>
      <c r="O162" s="197"/>
      <c r="P162" s="197"/>
      <c r="Q162" s="180"/>
    </row>
    <row r="163" spans="1:17" s="50" customFormat="1" ht="25" customHeight="1">
      <c r="A163" s="202" t="s">
        <v>290</v>
      </c>
      <c r="B163" s="199" t="s">
        <v>386</v>
      </c>
      <c r="C163" s="200">
        <v>4</v>
      </c>
      <c r="D163" s="200">
        <v>1</v>
      </c>
      <c r="E163" s="200">
        <v>16</v>
      </c>
      <c r="F163" s="180">
        <f t="shared" si="17"/>
        <v>1372.8</v>
      </c>
      <c r="G163" s="200">
        <v>70</v>
      </c>
      <c r="H163" s="268">
        <f t="shared" si="18"/>
        <v>4480</v>
      </c>
      <c r="I163" s="177">
        <f t="shared" si="19"/>
        <v>1372.8</v>
      </c>
      <c r="J163" s="197"/>
      <c r="K163" s="197"/>
      <c r="L163" s="197"/>
      <c r="M163" s="197"/>
      <c r="N163" s="197"/>
      <c r="O163" s="197"/>
      <c r="P163" s="197"/>
      <c r="Q163" s="180"/>
    </row>
    <row r="164" spans="1:17" s="50" customFormat="1" ht="25" customHeight="1">
      <c r="A164" s="202"/>
      <c r="B164" s="206" t="s">
        <v>387</v>
      </c>
      <c r="C164" s="207">
        <f>SUM(C149:C163)</f>
        <v>52</v>
      </c>
      <c r="D164" s="207">
        <f t="shared" ref="D164:K164" si="20">SUM(D149:D163)</f>
        <v>15</v>
      </c>
      <c r="E164" s="207">
        <f t="shared" si="20"/>
        <v>203</v>
      </c>
      <c r="F164" s="200">
        <f t="shared" si="20"/>
        <v>14800.5</v>
      </c>
      <c r="G164" s="207">
        <f t="shared" si="20"/>
        <v>1060</v>
      </c>
      <c r="H164" s="207">
        <f t="shared" si="20"/>
        <v>48620</v>
      </c>
      <c r="I164" s="207">
        <f t="shared" si="20"/>
        <v>14800.5</v>
      </c>
      <c r="J164" s="207">
        <f t="shared" si="20"/>
        <v>0</v>
      </c>
      <c r="K164" s="207">
        <f t="shared" si="20"/>
        <v>0</v>
      </c>
      <c r="L164" s="197"/>
      <c r="M164" s="197"/>
      <c r="N164" s="197"/>
      <c r="O164" s="197"/>
      <c r="P164" s="197"/>
      <c r="Q164" s="180"/>
    </row>
    <row r="165" spans="1:17" s="50" customFormat="1" ht="25" customHeight="1">
      <c r="A165" s="208"/>
      <c r="B165" s="209" t="s">
        <v>388</v>
      </c>
      <c r="C165" s="210">
        <f t="shared" ref="C165:K165" si="21">C126+C164+C146</f>
        <v>55</v>
      </c>
      <c r="D165" s="210">
        <f t="shared" si="21"/>
        <v>16</v>
      </c>
      <c r="E165" s="210">
        <f t="shared" si="21"/>
        <v>219</v>
      </c>
      <c r="F165" s="246">
        <f t="shared" si="21"/>
        <v>59096.850000000006</v>
      </c>
      <c r="G165" s="210">
        <f t="shared" si="21"/>
        <v>2512</v>
      </c>
      <c r="H165" s="210">
        <f t="shared" si="21"/>
        <v>242109.56</v>
      </c>
      <c r="I165" s="210">
        <f t="shared" si="21"/>
        <v>58898.850000000006</v>
      </c>
      <c r="J165" s="210">
        <f t="shared" si="21"/>
        <v>198</v>
      </c>
      <c r="K165" s="210">
        <f t="shared" si="21"/>
        <v>0</v>
      </c>
      <c r="L165" s="191">
        <f>'Bieu3 GDMN'!F25</f>
        <v>2700</v>
      </c>
      <c r="M165" s="191">
        <f>'Bieu3 GDMN'!N25</f>
        <v>2376</v>
      </c>
      <c r="N165" s="190">
        <f>I165-M165</f>
        <v>56522.850000000006</v>
      </c>
      <c r="O165" s="191">
        <f>'Bieu3 GDMN'!O25</f>
        <v>1709.75</v>
      </c>
      <c r="P165" s="191">
        <f>'Bieu3 GDMN'!P25</f>
        <v>960</v>
      </c>
      <c r="Q165" s="192"/>
    </row>
    <row r="166" spans="1:17" s="50" customFormat="1" ht="25" customHeight="1">
      <c r="A166" s="211"/>
      <c r="B166" s="212"/>
      <c r="C166" s="213"/>
      <c r="D166" s="213"/>
      <c r="E166" s="213"/>
      <c r="F166" s="213"/>
      <c r="G166" s="213"/>
      <c r="H166" s="213"/>
      <c r="I166" s="214"/>
      <c r="J166" s="178"/>
      <c r="K166" s="178"/>
      <c r="L166" s="178"/>
      <c r="M166" s="178"/>
      <c r="N166" s="178"/>
      <c r="O166" s="178"/>
      <c r="P166" s="178"/>
      <c r="Q166" s="179"/>
    </row>
    <row r="167" spans="1:17" s="50" customFormat="1" ht="25" customHeight="1">
      <c r="A167" s="215" t="s">
        <v>417</v>
      </c>
      <c r="B167" s="215" t="s">
        <v>418</v>
      </c>
      <c r="C167" s="216"/>
      <c r="D167" s="216"/>
      <c r="E167" s="216"/>
      <c r="F167" s="247"/>
      <c r="G167" s="216"/>
      <c r="H167" s="213"/>
      <c r="I167" s="214"/>
      <c r="J167" s="178"/>
      <c r="K167" s="178"/>
      <c r="L167" s="178"/>
      <c r="M167" s="178"/>
      <c r="N167" s="178"/>
      <c r="O167" s="178"/>
      <c r="P167" s="178"/>
      <c r="Q167" s="179"/>
    </row>
    <row r="168" spans="1:17" s="50" customFormat="1" ht="25" customHeight="1">
      <c r="A168" s="217" t="s">
        <v>6</v>
      </c>
      <c r="B168" s="217" t="s">
        <v>221</v>
      </c>
      <c r="C168" s="216"/>
      <c r="D168" s="216"/>
      <c r="E168" s="216"/>
      <c r="F168" s="247"/>
      <c r="G168" s="216"/>
      <c r="H168" s="213"/>
      <c r="I168" s="214"/>
      <c r="J168" s="178"/>
      <c r="K168" s="178"/>
      <c r="L168" s="178"/>
      <c r="M168" s="178"/>
      <c r="N168" s="178"/>
      <c r="O168" s="178"/>
      <c r="P168" s="178"/>
      <c r="Q168" s="179"/>
    </row>
    <row r="169" spans="1:17" s="50" customFormat="1" ht="25" customHeight="1">
      <c r="A169" s="217">
        <v>1</v>
      </c>
      <c r="B169" s="217" t="s">
        <v>4</v>
      </c>
      <c r="C169" s="216"/>
      <c r="D169" s="216"/>
      <c r="E169" s="216"/>
      <c r="F169" s="247"/>
      <c r="G169" s="216"/>
      <c r="H169" s="213"/>
      <c r="I169" s="214"/>
      <c r="J169" s="178"/>
      <c r="K169" s="178"/>
      <c r="L169" s="178"/>
      <c r="M169" s="178"/>
      <c r="N169" s="178"/>
      <c r="O169" s="178"/>
      <c r="P169" s="178"/>
      <c r="Q169" s="179"/>
    </row>
    <row r="170" spans="1:17" s="50" customFormat="1" ht="25" customHeight="1">
      <c r="A170" s="218" t="s">
        <v>145</v>
      </c>
      <c r="B170" s="219" t="s">
        <v>159</v>
      </c>
      <c r="C170" s="220"/>
      <c r="D170" s="220"/>
      <c r="E170" s="220"/>
      <c r="F170" s="224"/>
      <c r="G170" s="220"/>
      <c r="H170" s="213"/>
      <c r="I170" s="214"/>
      <c r="J170" s="178"/>
      <c r="K170" s="178"/>
      <c r="L170" s="178"/>
      <c r="M170" s="178"/>
      <c r="N170" s="178"/>
      <c r="O170" s="178"/>
      <c r="P170" s="178"/>
      <c r="Q170" s="179"/>
    </row>
    <row r="171" spans="1:17" s="50" customFormat="1" ht="25" customHeight="1">
      <c r="A171" s="269" t="s">
        <v>224</v>
      </c>
      <c r="B171" s="270" t="s">
        <v>664</v>
      </c>
      <c r="C171" s="355">
        <v>4</v>
      </c>
      <c r="D171" s="297">
        <v>1</v>
      </c>
      <c r="E171" s="355">
        <v>13</v>
      </c>
      <c r="F171" s="180">
        <f t="shared" ref="F171:F184" si="22">I171+J171+K171</f>
        <v>858</v>
      </c>
      <c r="G171" s="221">
        <v>50</v>
      </c>
      <c r="H171" s="268">
        <f>C171*D171*E171*G171</f>
        <v>2600</v>
      </c>
      <c r="I171" s="177">
        <f>IF(G171&lt;70, C171*E171*16.5*1, C171*E171*16.5*1.3)</f>
        <v>858</v>
      </c>
      <c r="J171" s="178"/>
      <c r="K171" s="178"/>
      <c r="L171" s="178"/>
      <c r="M171" s="178"/>
      <c r="N171" s="178"/>
      <c r="O171" s="178"/>
      <c r="P171" s="178"/>
      <c r="Q171" s="179"/>
    </row>
    <row r="172" spans="1:17" s="50" customFormat="1" ht="25" customHeight="1">
      <c r="A172" s="269" t="s">
        <v>225</v>
      </c>
      <c r="B172" s="270" t="s">
        <v>665</v>
      </c>
      <c r="C172" s="296">
        <v>3</v>
      </c>
      <c r="D172" s="356">
        <v>1</v>
      </c>
      <c r="E172" s="296">
        <v>7</v>
      </c>
      <c r="F172" s="180">
        <f t="shared" si="22"/>
        <v>450.45</v>
      </c>
      <c r="G172" s="222">
        <v>70</v>
      </c>
      <c r="H172" s="268">
        <f t="shared" ref="H172:H184" si="23">C172*D172*E172*G172</f>
        <v>1470</v>
      </c>
      <c r="I172" s="177">
        <f t="shared" ref="I172:I182" si="24">IF(G172&lt;70, C172*E172*16.5*1, C172*E172*16.5*1.3)</f>
        <v>450.45</v>
      </c>
      <c r="J172" s="178"/>
      <c r="K172" s="178"/>
      <c r="L172" s="178"/>
      <c r="M172" s="178"/>
      <c r="N172" s="178"/>
      <c r="O172" s="178"/>
      <c r="P172" s="178"/>
      <c r="Q172" s="179"/>
    </row>
    <row r="173" spans="1:17" s="50" customFormat="1" ht="25" customHeight="1">
      <c r="A173" s="269" t="s">
        <v>227</v>
      </c>
      <c r="B173" s="270" t="s">
        <v>666</v>
      </c>
      <c r="C173" s="296">
        <v>5</v>
      </c>
      <c r="D173" s="356">
        <v>1</v>
      </c>
      <c r="E173" s="296">
        <v>6</v>
      </c>
      <c r="F173" s="180">
        <f t="shared" si="22"/>
        <v>643.5</v>
      </c>
      <c r="G173" s="222">
        <v>70</v>
      </c>
      <c r="H173" s="268">
        <f t="shared" si="23"/>
        <v>2100</v>
      </c>
      <c r="I173" s="177">
        <f t="shared" si="24"/>
        <v>643.5</v>
      </c>
      <c r="J173" s="178"/>
      <c r="K173" s="178"/>
      <c r="L173" s="178"/>
      <c r="M173" s="178"/>
      <c r="N173" s="178"/>
      <c r="O173" s="178"/>
      <c r="P173" s="178"/>
      <c r="Q173" s="179"/>
    </row>
    <row r="174" spans="1:17" s="50" customFormat="1" ht="25" customHeight="1">
      <c r="A174" s="269" t="s">
        <v>228</v>
      </c>
      <c r="B174" s="270" t="s">
        <v>667</v>
      </c>
      <c r="C174" s="296">
        <v>2</v>
      </c>
      <c r="D174" s="356">
        <v>1</v>
      </c>
      <c r="E174" s="296">
        <v>1</v>
      </c>
      <c r="F174" s="180">
        <f t="shared" si="22"/>
        <v>33</v>
      </c>
      <c r="G174" s="222">
        <v>50</v>
      </c>
      <c r="H174" s="268">
        <f t="shared" si="23"/>
        <v>100</v>
      </c>
      <c r="I174" s="177">
        <f t="shared" si="24"/>
        <v>33</v>
      </c>
      <c r="J174" s="178"/>
      <c r="K174" s="178"/>
      <c r="L174" s="178"/>
      <c r="M174" s="178"/>
      <c r="N174" s="178"/>
      <c r="O174" s="178"/>
      <c r="P174" s="178"/>
      <c r="Q174" s="179"/>
    </row>
    <row r="175" spans="1:17" s="50" customFormat="1" ht="25" customHeight="1">
      <c r="A175" s="269" t="s">
        <v>229</v>
      </c>
      <c r="B175" s="270" t="s">
        <v>406</v>
      </c>
      <c r="C175" s="296">
        <v>2</v>
      </c>
      <c r="D175" s="356">
        <v>1</v>
      </c>
      <c r="E175" s="296">
        <v>1</v>
      </c>
      <c r="F175" s="180">
        <f t="shared" si="22"/>
        <v>33</v>
      </c>
      <c r="G175" s="222">
        <v>55</v>
      </c>
      <c r="H175" s="268">
        <f t="shared" si="23"/>
        <v>110</v>
      </c>
      <c r="I175" s="177">
        <f t="shared" si="24"/>
        <v>33</v>
      </c>
      <c r="J175" s="178"/>
      <c r="K175" s="178"/>
      <c r="L175" s="178"/>
      <c r="M175" s="178"/>
      <c r="N175" s="178"/>
      <c r="O175" s="178"/>
      <c r="P175" s="178"/>
      <c r="Q175" s="179"/>
    </row>
    <row r="176" spans="1:17" s="50" customFormat="1" ht="25" customHeight="1">
      <c r="A176" s="269" t="s">
        <v>283</v>
      </c>
      <c r="B176" s="270" t="s">
        <v>668</v>
      </c>
      <c r="C176" s="357">
        <v>3</v>
      </c>
      <c r="D176" s="356">
        <v>1</v>
      </c>
      <c r="E176" s="357">
        <v>1</v>
      </c>
      <c r="F176" s="180">
        <f t="shared" si="22"/>
        <v>49.5</v>
      </c>
      <c r="G176" s="222">
        <v>30</v>
      </c>
      <c r="H176" s="268">
        <f t="shared" si="23"/>
        <v>90</v>
      </c>
      <c r="I176" s="177">
        <f t="shared" si="24"/>
        <v>49.5</v>
      </c>
      <c r="J176" s="178"/>
      <c r="K176" s="178"/>
      <c r="L176" s="178"/>
      <c r="M176" s="178"/>
      <c r="N176" s="178"/>
      <c r="O176" s="178"/>
      <c r="P176" s="178"/>
      <c r="Q176" s="179"/>
    </row>
    <row r="177" spans="1:17" s="50" customFormat="1" ht="25" customHeight="1">
      <c r="A177" s="269" t="s">
        <v>284</v>
      </c>
      <c r="B177" s="270" t="s">
        <v>407</v>
      </c>
      <c r="C177" s="357">
        <v>2</v>
      </c>
      <c r="D177" s="356">
        <v>1</v>
      </c>
      <c r="E177" s="357">
        <v>1</v>
      </c>
      <c r="F177" s="180">
        <f t="shared" si="22"/>
        <v>33</v>
      </c>
      <c r="G177" s="222">
        <v>30</v>
      </c>
      <c r="H177" s="268">
        <f t="shared" si="23"/>
        <v>60</v>
      </c>
      <c r="I177" s="177">
        <f t="shared" si="24"/>
        <v>33</v>
      </c>
      <c r="J177" s="178"/>
      <c r="K177" s="178"/>
      <c r="L177" s="178"/>
      <c r="M177" s="178"/>
      <c r="N177" s="178"/>
      <c r="O177" s="178"/>
      <c r="P177" s="178"/>
      <c r="Q177" s="179"/>
    </row>
    <row r="178" spans="1:17" s="50" customFormat="1" ht="25" customHeight="1">
      <c r="A178" s="269" t="s">
        <v>287</v>
      </c>
      <c r="B178" s="270" t="s">
        <v>669</v>
      </c>
      <c r="C178" s="357">
        <v>2</v>
      </c>
      <c r="D178" s="356">
        <v>1</v>
      </c>
      <c r="E178" s="357">
        <v>1</v>
      </c>
      <c r="F178" s="180">
        <f t="shared" si="22"/>
        <v>33</v>
      </c>
      <c r="G178" s="222">
        <v>40</v>
      </c>
      <c r="H178" s="268">
        <f t="shared" si="23"/>
        <v>80</v>
      </c>
      <c r="I178" s="177">
        <f t="shared" si="24"/>
        <v>33</v>
      </c>
      <c r="J178" s="178"/>
      <c r="K178" s="178"/>
      <c r="L178" s="178"/>
      <c r="M178" s="178"/>
      <c r="N178" s="178"/>
      <c r="O178" s="178"/>
      <c r="P178" s="178"/>
      <c r="Q178" s="179"/>
    </row>
    <row r="179" spans="1:17" s="50" customFormat="1" ht="25" customHeight="1">
      <c r="A179" s="269" t="s">
        <v>288</v>
      </c>
      <c r="B179" s="270" t="s">
        <v>670</v>
      </c>
      <c r="C179" s="357">
        <v>2</v>
      </c>
      <c r="D179" s="356">
        <v>1</v>
      </c>
      <c r="E179" s="357">
        <v>1</v>
      </c>
      <c r="F179" s="180">
        <f t="shared" si="22"/>
        <v>33</v>
      </c>
      <c r="G179" s="223">
        <v>40</v>
      </c>
      <c r="H179" s="268">
        <f t="shared" si="23"/>
        <v>80</v>
      </c>
      <c r="I179" s="177">
        <f t="shared" si="24"/>
        <v>33</v>
      </c>
      <c r="J179" s="178"/>
      <c r="K179" s="178"/>
      <c r="L179" s="178"/>
      <c r="M179" s="178"/>
      <c r="N179" s="178"/>
      <c r="O179" s="178"/>
      <c r="P179" s="178"/>
      <c r="Q179" s="179"/>
    </row>
    <row r="180" spans="1:17" s="50" customFormat="1" ht="25" customHeight="1">
      <c r="A180" s="269" t="s">
        <v>289</v>
      </c>
      <c r="B180" s="270" t="s">
        <v>408</v>
      </c>
      <c r="C180" s="357">
        <v>1</v>
      </c>
      <c r="D180" s="272">
        <v>1.4</v>
      </c>
      <c r="E180" s="357">
        <v>6</v>
      </c>
      <c r="F180" s="180">
        <f t="shared" si="22"/>
        <v>99</v>
      </c>
      <c r="G180" s="223">
        <v>40</v>
      </c>
      <c r="H180" s="268">
        <f t="shared" si="23"/>
        <v>335.99999999999994</v>
      </c>
      <c r="I180" s="177">
        <f t="shared" si="24"/>
        <v>99</v>
      </c>
      <c r="J180" s="178"/>
      <c r="K180" s="178"/>
      <c r="L180" s="178"/>
      <c r="M180" s="178"/>
      <c r="N180" s="178"/>
      <c r="O180" s="178"/>
      <c r="P180" s="178"/>
      <c r="Q180" s="179"/>
    </row>
    <row r="181" spans="1:17" s="50" customFormat="1" ht="25" customHeight="1">
      <c r="A181" s="269" t="s">
        <v>290</v>
      </c>
      <c r="B181" s="296" t="s">
        <v>409</v>
      </c>
      <c r="C181" s="357">
        <v>1</v>
      </c>
      <c r="D181" s="272">
        <v>1.4</v>
      </c>
      <c r="E181" s="357">
        <v>14</v>
      </c>
      <c r="F181" s="180">
        <f t="shared" si="22"/>
        <v>300.3</v>
      </c>
      <c r="G181" s="223">
        <v>80</v>
      </c>
      <c r="H181" s="268">
        <f t="shared" si="23"/>
        <v>1567.9999999999998</v>
      </c>
      <c r="I181" s="177">
        <f t="shared" si="24"/>
        <v>300.3</v>
      </c>
      <c r="J181" s="178"/>
      <c r="K181" s="178"/>
      <c r="L181" s="178"/>
      <c r="M181" s="178"/>
      <c r="N181" s="178"/>
      <c r="O181" s="178"/>
      <c r="P181" s="178"/>
      <c r="Q181" s="179"/>
    </row>
    <row r="182" spans="1:17" s="50" customFormat="1" ht="25" customHeight="1">
      <c r="A182" s="274"/>
      <c r="B182" s="284" t="s">
        <v>375</v>
      </c>
      <c r="C182" s="287">
        <f>SUM(C171:C181)</f>
        <v>27</v>
      </c>
      <c r="D182" s="287">
        <f>SUM(D171:D181)</f>
        <v>11.8</v>
      </c>
      <c r="E182" s="287">
        <f>SUM(E171:E181)</f>
        <v>52</v>
      </c>
      <c r="F182" s="180">
        <f t="shared" si="22"/>
        <v>30115.8</v>
      </c>
      <c r="G182" s="223">
        <v>80</v>
      </c>
      <c r="H182" s="268">
        <f t="shared" si="23"/>
        <v>1325376</v>
      </c>
      <c r="I182" s="177">
        <f t="shared" si="24"/>
        <v>30115.8</v>
      </c>
      <c r="J182" s="178"/>
      <c r="K182" s="178"/>
      <c r="L182" s="178"/>
      <c r="M182" s="178"/>
      <c r="N182" s="178"/>
      <c r="O182" s="178"/>
      <c r="P182" s="178"/>
      <c r="Q182" s="179"/>
    </row>
    <row r="183" spans="1:17" s="50" customFormat="1" ht="25" customHeight="1">
      <c r="A183" s="358">
        <v>2</v>
      </c>
      <c r="B183" s="358" t="s">
        <v>162</v>
      </c>
      <c r="C183" s="272"/>
      <c r="D183" s="272"/>
      <c r="E183" s="272"/>
      <c r="F183" s="180">
        <f t="shared" si="22"/>
        <v>0</v>
      </c>
      <c r="G183" s="223">
        <v>36</v>
      </c>
      <c r="H183" s="268">
        <f t="shared" si="23"/>
        <v>0</v>
      </c>
      <c r="I183" s="177">
        <f>E183*15</f>
        <v>0</v>
      </c>
      <c r="J183" s="178"/>
      <c r="K183" s="178"/>
      <c r="L183" s="178"/>
      <c r="M183" s="178"/>
      <c r="N183" s="178"/>
      <c r="O183" s="178"/>
      <c r="P183" s="178"/>
      <c r="Q183" s="179"/>
    </row>
    <row r="184" spans="1:17" s="50" customFormat="1" ht="25" customHeight="1">
      <c r="A184" s="317" t="s">
        <v>145</v>
      </c>
      <c r="B184" s="318" t="s">
        <v>163</v>
      </c>
      <c r="C184" s="272"/>
      <c r="D184" s="272"/>
      <c r="E184" s="272"/>
      <c r="F184" s="180">
        <f t="shared" si="22"/>
        <v>0</v>
      </c>
      <c r="G184" s="223">
        <v>20</v>
      </c>
      <c r="H184" s="268">
        <f t="shared" si="23"/>
        <v>0</v>
      </c>
      <c r="I184" s="177">
        <f>E184*15</f>
        <v>0</v>
      </c>
      <c r="J184" s="178"/>
      <c r="K184" s="178"/>
      <c r="L184" s="178"/>
      <c r="M184" s="178"/>
      <c r="N184" s="178"/>
      <c r="O184" s="178"/>
      <c r="P184" s="178"/>
      <c r="Q184" s="179"/>
    </row>
    <row r="185" spans="1:17" s="50" customFormat="1" ht="25" customHeight="1">
      <c r="A185" s="269" t="s">
        <v>224</v>
      </c>
      <c r="B185" s="270" t="s">
        <v>410</v>
      </c>
      <c r="C185" s="296">
        <v>3</v>
      </c>
      <c r="D185" s="356">
        <v>1</v>
      </c>
      <c r="E185" s="357">
        <v>3</v>
      </c>
      <c r="F185" s="200">
        <f>SUM(F171:F184)</f>
        <v>32681.55</v>
      </c>
      <c r="G185" s="207">
        <f>SUM(G171:G184)</f>
        <v>691</v>
      </c>
      <c r="H185" s="207">
        <f>SUM(H171:H184)</f>
        <v>1333970</v>
      </c>
      <c r="I185" s="207">
        <f>SUM(I171:I184)</f>
        <v>32681.55</v>
      </c>
      <c r="J185" s="178"/>
      <c r="K185" s="178"/>
      <c r="L185" s="178"/>
      <c r="M185" s="178"/>
      <c r="N185" s="178"/>
      <c r="O185" s="178"/>
      <c r="P185" s="178"/>
      <c r="Q185" s="179"/>
    </row>
    <row r="186" spans="1:17" s="50" customFormat="1" ht="25" customHeight="1">
      <c r="A186" s="269" t="s">
        <v>225</v>
      </c>
      <c r="B186" s="270" t="s">
        <v>411</v>
      </c>
      <c r="C186" s="296">
        <v>3</v>
      </c>
      <c r="D186" s="356">
        <v>1</v>
      </c>
      <c r="E186" s="357">
        <v>1</v>
      </c>
      <c r="F186" s="224"/>
      <c r="G186" s="224"/>
      <c r="H186" s="213"/>
      <c r="I186" s="214"/>
      <c r="J186" s="178"/>
      <c r="K186" s="178"/>
      <c r="L186" s="178"/>
      <c r="M186" s="178"/>
      <c r="N186" s="178"/>
      <c r="O186" s="178"/>
      <c r="P186" s="178"/>
      <c r="Q186" s="179"/>
    </row>
    <row r="187" spans="1:17" s="50" customFormat="1" ht="25" customHeight="1">
      <c r="A187" s="269" t="s">
        <v>226</v>
      </c>
      <c r="B187" s="285" t="s">
        <v>412</v>
      </c>
      <c r="C187" s="296">
        <v>3</v>
      </c>
      <c r="D187" s="356">
        <v>1</v>
      </c>
      <c r="E187" s="357">
        <v>1</v>
      </c>
      <c r="F187" s="224"/>
      <c r="G187" s="224"/>
      <c r="H187" s="213"/>
      <c r="I187" s="214"/>
      <c r="J187" s="178"/>
      <c r="K187" s="178"/>
      <c r="L187" s="178"/>
      <c r="M187" s="178"/>
      <c r="N187" s="178"/>
      <c r="O187" s="178"/>
      <c r="P187" s="178"/>
      <c r="Q187" s="179"/>
    </row>
    <row r="188" spans="1:17" s="50" customFormat="1" ht="25" customHeight="1">
      <c r="A188" s="269" t="s">
        <v>227</v>
      </c>
      <c r="B188" s="270" t="s">
        <v>413</v>
      </c>
      <c r="C188" s="296">
        <v>3</v>
      </c>
      <c r="D188" s="356">
        <v>1</v>
      </c>
      <c r="E188" s="357">
        <v>1</v>
      </c>
      <c r="F188" s="180">
        <f t="shared" ref="F188:F194" si="25">I188+J188+K188</f>
        <v>74.25</v>
      </c>
      <c r="G188" s="222">
        <v>15</v>
      </c>
      <c r="H188" s="268">
        <f>C188*D188*E188*G188</f>
        <v>45</v>
      </c>
      <c r="I188" s="177">
        <f t="shared" ref="I188:I194" si="26">IF(G188&lt;70, C188*E188*16.5*1*1.5, C188*E188*16.5*1.3*1.5)</f>
        <v>74.25</v>
      </c>
      <c r="J188" s="178"/>
      <c r="K188" s="178"/>
      <c r="L188" s="178"/>
      <c r="M188" s="178"/>
      <c r="N188" s="178"/>
      <c r="O188" s="178"/>
      <c r="P188" s="178"/>
      <c r="Q188" s="179"/>
    </row>
    <row r="189" spans="1:17" s="50" customFormat="1" ht="25" customHeight="1">
      <c r="A189" s="269" t="s">
        <v>228</v>
      </c>
      <c r="B189" s="273" t="s">
        <v>414</v>
      </c>
      <c r="C189" s="296">
        <v>3</v>
      </c>
      <c r="D189" s="356">
        <v>1</v>
      </c>
      <c r="E189" s="357">
        <v>3</v>
      </c>
      <c r="F189" s="180">
        <f t="shared" si="25"/>
        <v>222.75</v>
      </c>
      <c r="G189" s="222">
        <v>10</v>
      </c>
      <c r="H189" s="268">
        <f t="shared" ref="H189:H194" si="27">C189*D189*E189*G189</f>
        <v>90</v>
      </c>
      <c r="I189" s="177">
        <f t="shared" si="26"/>
        <v>222.75</v>
      </c>
      <c r="J189" s="178"/>
      <c r="K189" s="178"/>
      <c r="L189" s="178"/>
      <c r="M189" s="178"/>
      <c r="N189" s="178"/>
      <c r="O189" s="178"/>
      <c r="P189" s="178"/>
      <c r="Q189" s="179"/>
    </row>
    <row r="190" spans="1:17" s="50" customFormat="1" ht="25" customHeight="1">
      <c r="A190" s="269" t="s">
        <v>229</v>
      </c>
      <c r="B190" s="273" t="s">
        <v>415</v>
      </c>
      <c r="C190" s="296">
        <v>3</v>
      </c>
      <c r="D190" s="356">
        <v>1</v>
      </c>
      <c r="E190" s="357">
        <v>1</v>
      </c>
      <c r="F190" s="180">
        <f t="shared" si="25"/>
        <v>74.25</v>
      </c>
      <c r="G190" s="222">
        <v>10</v>
      </c>
      <c r="H190" s="268">
        <f t="shared" si="27"/>
        <v>30</v>
      </c>
      <c r="I190" s="177">
        <f t="shared" si="26"/>
        <v>74.25</v>
      </c>
      <c r="J190" s="178"/>
      <c r="K190" s="178"/>
      <c r="L190" s="178"/>
      <c r="M190" s="178"/>
      <c r="N190" s="178"/>
      <c r="O190" s="178"/>
      <c r="P190" s="178"/>
      <c r="Q190" s="179"/>
    </row>
    <row r="191" spans="1:17" s="50" customFormat="1" ht="25" customHeight="1">
      <c r="A191" s="269" t="s">
        <v>280</v>
      </c>
      <c r="B191" s="273" t="s">
        <v>416</v>
      </c>
      <c r="C191" s="296">
        <v>3</v>
      </c>
      <c r="D191" s="356">
        <v>1</v>
      </c>
      <c r="E191" s="357">
        <v>3</v>
      </c>
      <c r="F191" s="180">
        <f t="shared" si="25"/>
        <v>222.75</v>
      </c>
      <c r="G191" s="222">
        <v>10</v>
      </c>
      <c r="H191" s="268">
        <f t="shared" si="27"/>
        <v>90</v>
      </c>
      <c r="I191" s="177">
        <f t="shared" si="26"/>
        <v>222.75</v>
      </c>
      <c r="J191" s="178"/>
      <c r="K191" s="178"/>
      <c r="L191" s="178"/>
      <c r="M191" s="178"/>
      <c r="N191" s="178"/>
      <c r="O191" s="178"/>
      <c r="P191" s="178"/>
      <c r="Q191" s="179"/>
    </row>
    <row r="192" spans="1:17" s="50" customFormat="1" ht="25" customHeight="1">
      <c r="A192" s="274"/>
      <c r="B192" s="359" t="s">
        <v>375</v>
      </c>
      <c r="C192" s="287">
        <f>SUM(C185:C191)</f>
        <v>21</v>
      </c>
      <c r="D192" s="287">
        <f>SUM(D185:D191)</f>
        <v>7</v>
      </c>
      <c r="E192" s="287">
        <f>SUM(E185:E191)</f>
        <v>13</v>
      </c>
      <c r="F192" s="180">
        <f t="shared" si="25"/>
        <v>6756.75</v>
      </c>
      <c r="G192" s="222">
        <v>15</v>
      </c>
      <c r="H192" s="268">
        <f t="shared" si="27"/>
        <v>28665</v>
      </c>
      <c r="I192" s="177">
        <f t="shared" si="26"/>
        <v>6756.75</v>
      </c>
      <c r="J192" s="178"/>
      <c r="K192" s="178"/>
      <c r="L192" s="178"/>
      <c r="M192" s="178"/>
      <c r="N192" s="178"/>
      <c r="O192" s="178"/>
      <c r="P192" s="178"/>
      <c r="Q192" s="179"/>
    </row>
    <row r="193" spans="1:17" s="50" customFormat="1" ht="25" customHeight="1">
      <c r="A193" s="358" t="s">
        <v>7</v>
      </c>
      <c r="B193" s="358" t="s">
        <v>222</v>
      </c>
      <c r="C193" s="272"/>
      <c r="D193" s="272"/>
      <c r="E193" s="272"/>
      <c r="F193" s="180">
        <f t="shared" si="25"/>
        <v>0</v>
      </c>
      <c r="G193" s="222">
        <v>10</v>
      </c>
      <c r="H193" s="268">
        <f t="shared" si="27"/>
        <v>0</v>
      </c>
      <c r="I193" s="177">
        <f t="shared" si="26"/>
        <v>0</v>
      </c>
      <c r="J193" s="178"/>
      <c r="K193" s="178"/>
      <c r="L193" s="178"/>
      <c r="M193" s="178"/>
      <c r="N193" s="178"/>
      <c r="O193" s="178"/>
      <c r="P193" s="178"/>
      <c r="Q193" s="179"/>
    </row>
    <row r="194" spans="1:17" s="50" customFormat="1" ht="25" customHeight="1">
      <c r="A194" s="358">
        <v>1</v>
      </c>
      <c r="B194" s="318" t="s">
        <v>223</v>
      </c>
      <c r="C194" s="272"/>
      <c r="D194" s="272"/>
      <c r="E194" s="272"/>
      <c r="F194" s="180">
        <f t="shared" si="25"/>
        <v>0</v>
      </c>
      <c r="G194" s="222">
        <v>15</v>
      </c>
      <c r="H194" s="268">
        <f t="shared" si="27"/>
        <v>0</v>
      </c>
      <c r="I194" s="177">
        <f t="shared" si="26"/>
        <v>0</v>
      </c>
      <c r="J194" s="178"/>
      <c r="K194" s="178"/>
      <c r="L194" s="178"/>
      <c r="M194" s="178"/>
      <c r="N194" s="178"/>
      <c r="O194" s="178"/>
      <c r="P194" s="178"/>
      <c r="Q194" s="179"/>
    </row>
    <row r="195" spans="1:17" s="50" customFormat="1" ht="25" customHeight="1">
      <c r="A195" s="358" t="s">
        <v>145</v>
      </c>
      <c r="B195" s="318" t="s">
        <v>161</v>
      </c>
      <c r="C195" s="272"/>
      <c r="D195" s="272"/>
      <c r="E195" s="272"/>
      <c r="F195" s="200">
        <f>SUM(F188:F194)</f>
        <v>7350.75</v>
      </c>
      <c r="G195" s="207">
        <f>SUM(G188:G194)</f>
        <v>85</v>
      </c>
      <c r="H195" s="207">
        <f>SUM(H188:H194)</f>
        <v>28920</v>
      </c>
      <c r="I195" s="207">
        <f>SUM(I188:I194)</f>
        <v>7350.75</v>
      </c>
      <c r="J195" s="178"/>
      <c r="K195" s="178"/>
      <c r="L195" s="178"/>
      <c r="M195" s="178"/>
      <c r="N195" s="178"/>
      <c r="O195" s="178"/>
      <c r="P195" s="178"/>
      <c r="Q195" s="179"/>
    </row>
    <row r="196" spans="1:17" s="50" customFormat="1" ht="25" customHeight="1">
      <c r="A196" s="313" t="s">
        <v>224</v>
      </c>
      <c r="B196" s="270" t="s">
        <v>671</v>
      </c>
      <c r="C196" s="357">
        <v>5</v>
      </c>
      <c r="D196" s="356">
        <v>1</v>
      </c>
      <c r="E196" s="272">
        <v>25</v>
      </c>
      <c r="F196" s="224"/>
      <c r="G196" s="224"/>
      <c r="H196" s="224"/>
      <c r="I196" s="225"/>
      <c r="J196" s="225"/>
      <c r="K196" s="225"/>
      <c r="L196" s="225"/>
      <c r="M196" s="225"/>
      <c r="N196" s="225"/>
      <c r="O196" s="225"/>
      <c r="P196" s="225"/>
      <c r="Q196" s="226"/>
    </row>
    <row r="197" spans="1:17" s="50" customFormat="1" ht="25" customHeight="1">
      <c r="A197" s="313" t="s">
        <v>225</v>
      </c>
      <c r="B197" s="270" t="s">
        <v>672</v>
      </c>
      <c r="C197" s="357">
        <v>5</v>
      </c>
      <c r="D197" s="356">
        <v>1</v>
      </c>
      <c r="E197" s="272">
        <v>26</v>
      </c>
      <c r="F197" s="224"/>
      <c r="G197" s="224"/>
      <c r="H197" s="224"/>
      <c r="I197" s="225"/>
      <c r="J197" s="225"/>
      <c r="K197" s="225"/>
      <c r="L197" s="225"/>
      <c r="M197" s="225"/>
      <c r="N197" s="225"/>
      <c r="O197" s="225"/>
      <c r="P197" s="225"/>
      <c r="Q197" s="226"/>
    </row>
    <row r="198" spans="1:17" s="50" customFormat="1" ht="25" customHeight="1">
      <c r="A198" s="274"/>
      <c r="B198" s="284" t="s">
        <v>375</v>
      </c>
      <c r="C198" s="287">
        <f>SUM(C196:C197)</f>
        <v>10</v>
      </c>
      <c r="D198" s="287">
        <f>SUM(D196:D197)</f>
        <v>2</v>
      </c>
      <c r="E198" s="287">
        <f>SUM(E196:E197)</f>
        <v>51</v>
      </c>
      <c r="F198" s="224"/>
      <c r="G198" s="224"/>
      <c r="H198" s="224"/>
      <c r="I198" s="225"/>
      <c r="J198" s="225"/>
      <c r="K198" s="225"/>
      <c r="L198" s="225"/>
      <c r="M198" s="225"/>
      <c r="N198" s="225"/>
      <c r="O198" s="225"/>
      <c r="P198" s="225"/>
      <c r="Q198" s="226"/>
    </row>
    <row r="199" spans="1:17" s="50" customFormat="1" ht="25" customHeight="1">
      <c r="A199" s="327"/>
      <c r="B199" s="332" t="s">
        <v>419</v>
      </c>
      <c r="C199" s="321">
        <f>C182+C192+C198</f>
        <v>58</v>
      </c>
      <c r="D199" s="321">
        <f>D182+D192+D198</f>
        <v>20.8</v>
      </c>
      <c r="E199" s="321">
        <f>E182+E192+E198</f>
        <v>116</v>
      </c>
      <c r="F199" s="180">
        <f>I199+J199+K199</f>
        <v>111012</v>
      </c>
      <c r="G199" s="224">
        <v>50</v>
      </c>
      <c r="H199" s="268">
        <f>C199*D199*E199*G199</f>
        <v>6997120.0000000009</v>
      </c>
      <c r="I199" s="177">
        <f>IF(G199&lt;70, C199*E199*16.5*1, C199*E199*16.5*1.3)</f>
        <v>111012</v>
      </c>
      <c r="J199" s="225"/>
      <c r="K199" s="225"/>
      <c r="L199" s="225"/>
      <c r="M199" s="225"/>
      <c r="N199" s="225"/>
      <c r="O199" s="225"/>
      <c r="P199" s="225"/>
      <c r="Q199" s="226"/>
    </row>
    <row r="200" spans="1:17" s="50" customFormat="1" ht="25" customHeight="1">
      <c r="A200" s="217" t="s">
        <v>426</v>
      </c>
      <c r="B200" s="252" t="s">
        <v>427</v>
      </c>
      <c r="C200" s="216"/>
      <c r="D200" s="216"/>
      <c r="E200" s="216"/>
      <c r="F200" s="247"/>
      <c r="G200" s="216"/>
      <c r="H200" s="216"/>
      <c r="I200" s="216"/>
      <c r="J200" s="178"/>
      <c r="K200" s="178"/>
      <c r="L200" s="178"/>
      <c r="M200" s="178"/>
      <c r="N200" s="178"/>
      <c r="O200" s="178"/>
      <c r="P200" s="178"/>
      <c r="Q200" s="179"/>
    </row>
    <row r="201" spans="1:17" s="50" customFormat="1" ht="25" customHeight="1">
      <c r="A201" s="217" t="s">
        <v>6</v>
      </c>
      <c r="B201" s="217" t="s">
        <v>221</v>
      </c>
      <c r="C201" s="216"/>
      <c r="D201" s="216"/>
      <c r="E201" s="216"/>
      <c r="F201" s="247"/>
      <c r="G201" s="216"/>
      <c r="H201" s="216"/>
      <c r="I201" s="216"/>
      <c r="J201" s="178"/>
      <c r="K201" s="178"/>
      <c r="L201" s="178"/>
      <c r="M201" s="178"/>
      <c r="N201" s="178"/>
      <c r="O201" s="178"/>
      <c r="P201" s="178"/>
      <c r="Q201" s="179"/>
    </row>
    <row r="202" spans="1:17" s="50" customFormat="1" ht="25" customHeight="1">
      <c r="A202" s="217">
        <v>1</v>
      </c>
      <c r="B202" s="217" t="s">
        <v>4</v>
      </c>
      <c r="C202" s="216"/>
      <c r="D202" s="216"/>
      <c r="E202" s="216"/>
      <c r="F202" s="247"/>
      <c r="G202" s="216"/>
      <c r="H202" s="216"/>
      <c r="I202" s="216"/>
      <c r="J202" s="178"/>
      <c r="K202" s="178"/>
      <c r="L202" s="178"/>
      <c r="M202" s="178"/>
      <c r="N202" s="178"/>
      <c r="O202" s="178"/>
      <c r="P202" s="178"/>
      <c r="Q202" s="179"/>
    </row>
    <row r="203" spans="1:17" s="50" customFormat="1" ht="25" customHeight="1">
      <c r="A203" s="269" t="s">
        <v>224</v>
      </c>
      <c r="B203" s="270" t="s">
        <v>673</v>
      </c>
      <c r="C203" s="271">
        <v>4</v>
      </c>
      <c r="D203" s="271">
        <v>1</v>
      </c>
      <c r="E203" s="271">
        <v>10</v>
      </c>
      <c r="F203" s="224"/>
      <c r="G203" s="220"/>
      <c r="H203" s="220"/>
      <c r="I203" s="227"/>
      <c r="J203" s="178"/>
      <c r="K203" s="178"/>
      <c r="L203" s="178"/>
      <c r="M203" s="178"/>
      <c r="N203" s="178"/>
      <c r="O203" s="178"/>
      <c r="P203" s="178"/>
      <c r="Q203" s="179"/>
    </row>
    <row r="204" spans="1:17" s="50" customFormat="1" ht="25" customHeight="1">
      <c r="A204" s="269" t="s">
        <v>225</v>
      </c>
      <c r="B204" s="270" t="s">
        <v>674</v>
      </c>
      <c r="C204" s="272">
        <v>3</v>
      </c>
      <c r="D204" s="272">
        <v>1</v>
      </c>
      <c r="E204" s="272">
        <v>4</v>
      </c>
      <c r="F204" s="180">
        <f t="shared" ref="F204:F210" si="28">I204+J204+K204</f>
        <v>257.40000000000003</v>
      </c>
      <c r="G204" s="228">
        <v>70</v>
      </c>
      <c r="H204" s="268">
        <f t="shared" ref="H204:H210" si="29">C204*D204*E204*G204</f>
        <v>840</v>
      </c>
      <c r="I204" s="177">
        <f t="shared" ref="I204:I210" si="30">IF(G204&lt;70, C204*E204*16.5*1, C204*E204*16.5*1.3)</f>
        <v>257.40000000000003</v>
      </c>
      <c r="J204" s="178"/>
      <c r="K204" s="178"/>
      <c r="L204" s="178"/>
      <c r="M204" s="178"/>
      <c r="N204" s="178"/>
      <c r="O204" s="178"/>
      <c r="P204" s="178"/>
      <c r="Q204" s="179"/>
    </row>
    <row r="205" spans="1:17" s="50" customFormat="1" ht="25" customHeight="1">
      <c r="A205" s="269" t="s">
        <v>226</v>
      </c>
      <c r="B205" s="285" t="s">
        <v>421</v>
      </c>
      <c r="C205" s="272">
        <v>3</v>
      </c>
      <c r="D205" s="272">
        <v>1</v>
      </c>
      <c r="E205" s="272">
        <v>3</v>
      </c>
      <c r="F205" s="180">
        <f t="shared" si="28"/>
        <v>193.05</v>
      </c>
      <c r="G205" s="224">
        <v>70</v>
      </c>
      <c r="H205" s="268">
        <f t="shared" si="29"/>
        <v>630</v>
      </c>
      <c r="I205" s="177">
        <f t="shared" si="30"/>
        <v>193.05</v>
      </c>
      <c r="J205" s="178"/>
      <c r="K205" s="178"/>
      <c r="L205" s="178"/>
      <c r="M205" s="178"/>
      <c r="N205" s="178"/>
      <c r="O205" s="178"/>
      <c r="P205" s="178"/>
      <c r="Q205" s="179"/>
    </row>
    <row r="206" spans="1:17" s="50" customFormat="1" ht="25" customHeight="1">
      <c r="A206" s="269" t="s">
        <v>227</v>
      </c>
      <c r="B206" s="285" t="s">
        <v>422</v>
      </c>
      <c r="C206" s="272">
        <v>4</v>
      </c>
      <c r="D206" s="272">
        <v>1</v>
      </c>
      <c r="E206" s="272">
        <v>3</v>
      </c>
      <c r="F206" s="180">
        <f t="shared" si="28"/>
        <v>257.40000000000003</v>
      </c>
      <c r="G206" s="224">
        <v>70</v>
      </c>
      <c r="H206" s="268">
        <f t="shared" si="29"/>
        <v>840</v>
      </c>
      <c r="I206" s="177">
        <f t="shared" si="30"/>
        <v>257.40000000000003</v>
      </c>
      <c r="J206" s="178"/>
      <c r="K206" s="178"/>
      <c r="L206" s="178"/>
      <c r="M206" s="178"/>
      <c r="N206" s="178"/>
      <c r="O206" s="178"/>
      <c r="P206" s="178"/>
      <c r="Q206" s="179"/>
    </row>
    <row r="207" spans="1:17" s="50" customFormat="1" ht="25" customHeight="1">
      <c r="A207" s="269" t="s">
        <v>228</v>
      </c>
      <c r="B207" s="285" t="s">
        <v>423</v>
      </c>
      <c r="C207" s="272">
        <v>4</v>
      </c>
      <c r="D207" s="272">
        <v>1</v>
      </c>
      <c r="E207" s="272">
        <v>4</v>
      </c>
      <c r="F207" s="180">
        <f t="shared" si="28"/>
        <v>343.2</v>
      </c>
      <c r="G207" s="224">
        <v>70</v>
      </c>
      <c r="H207" s="268">
        <f t="shared" si="29"/>
        <v>1120</v>
      </c>
      <c r="I207" s="177">
        <f t="shared" si="30"/>
        <v>343.2</v>
      </c>
      <c r="J207" s="178"/>
      <c r="K207" s="178"/>
      <c r="L207" s="178"/>
      <c r="M207" s="178"/>
      <c r="N207" s="178"/>
      <c r="O207" s="178"/>
      <c r="P207" s="178"/>
      <c r="Q207" s="179"/>
    </row>
    <row r="208" spans="1:17" s="50" customFormat="1" ht="25" customHeight="1">
      <c r="A208" s="269" t="s">
        <v>229</v>
      </c>
      <c r="B208" s="273" t="s">
        <v>424</v>
      </c>
      <c r="C208" s="272">
        <v>4</v>
      </c>
      <c r="D208" s="272">
        <v>1</v>
      </c>
      <c r="E208" s="272">
        <v>1</v>
      </c>
      <c r="F208" s="180">
        <f t="shared" si="28"/>
        <v>85.8</v>
      </c>
      <c r="G208" s="224">
        <v>70</v>
      </c>
      <c r="H208" s="268">
        <f t="shared" si="29"/>
        <v>280</v>
      </c>
      <c r="I208" s="177">
        <f t="shared" si="30"/>
        <v>85.8</v>
      </c>
      <c r="J208" s="178"/>
      <c r="K208" s="178"/>
      <c r="L208" s="178"/>
      <c r="M208" s="178"/>
      <c r="N208" s="178"/>
      <c r="O208" s="178"/>
      <c r="P208" s="178"/>
      <c r="Q208" s="179"/>
    </row>
    <row r="209" spans="1:17" s="50" customFormat="1" ht="25" customHeight="1">
      <c r="A209" s="269" t="s">
        <v>675</v>
      </c>
      <c r="B209" s="273" t="s">
        <v>676</v>
      </c>
      <c r="C209" s="272">
        <v>2</v>
      </c>
      <c r="D209" s="272">
        <v>1</v>
      </c>
      <c r="E209" s="272">
        <v>4</v>
      </c>
      <c r="F209" s="180">
        <f t="shared" si="28"/>
        <v>171.6</v>
      </c>
      <c r="G209" s="224">
        <v>70</v>
      </c>
      <c r="H209" s="268">
        <f t="shared" si="29"/>
        <v>560</v>
      </c>
      <c r="I209" s="177">
        <f t="shared" si="30"/>
        <v>171.6</v>
      </c>
      <c r="J209" s="178"/>
      <c r="K209" s="178"/>
      <c r="L209" s="178"/>
      <c r="M209" s="178"/>
      <c r="N209" s="178"/>
      <c r="O209" s="178"/>
      <c r="P209" s="178"/>
      <c r="Q209" s="179"/>
    </row>
    <row r="210" spans="1:17" s="50" customFormat="1" ht="25" customHeight="1">
      <c r="A210" s="269" t="s">
        <v>677</v>
      </c>
      <c r="B210" s="273" t="s">
        <v>678</v>
      </c>
      <c r="C210" s="272">
        <v>2</v>
      </c>
      <c r="D210" s="272">
        <v>1</v>
      </c>
      <c r="E210" s="272">
        <v>10</v>
      </c>
      <c r="F210" s="180">
        <f t="shared" si="28"/>
        <v>429</v>
      </c>
      <c r="G210" s="224">
        <v>70</v>
      </c>
      <c r="H210" s="268">
        <f t="shared" si="29"/>
        <v>1400</v>
      </c>
      <c r="I210" s="177">
        <f t="shared" si="30"/>
        <v>429</v>
      </c>
      <c r="J210" s="178"/>
      <c r="K210" s="178"/>
      <c r="L210" s="178"/>
      <c r="M210" s="178"/>
      <c r="N210" s="178"/>
      <c r="O210" s="178"/>
      <c r="P210" s="178"/>
      <c r="Q210" s="179"/>
    </row>
    <row r="211" spans="1:17" s="50" customFormat="1" ht="25" customHeight="1">
      <c r="A211" s="269" t="s">
        <v>280</v>
      </c>
      <c r="B211" s="273" t="s">
        <v>425</v>
      </c>
      <c r="C211" s="272">
        <v>3</v>
      </c>
      <c r="D211" s="272">
        <v>1</v>
      </c>
      <c r="E211" s="272">
        <v>4</v>
      </c>
      <c r="F211" s="200">
        <f>SUM(F204:F210)</f>
        <v>1737.45</v>
      </c>
      <c r="G211" s="207">
        <f>SUM(G204:G210)</f>
        <v>490</v>
      </c>
      <c r="H211" s="207">
        <f>SUM(H204:H210)</f>
        <v>5670</v>
      </c>
      <c r="I211" s="207">
        <f>SUM(I204:I210)</f>
        <v>1737.45</v>
      </c>
      <c r="J211" s="178"/>
      <c r="K211" s="178"/>
      <c r="L211" s="178"/>
      <c r="M211" s="178"/>
      <c r="N211" s="178"/>
      <c r="O211" s="178"/>
      <c r="P211" s="178"/>
      <c r="Q211" s="179"/>
    </row>
    <row r="212" spans="1:17" s="50" customFormat="1" ht="25" customHeight="1">
      <c r="A212" s="274"/>
      <c r="B212" s="284" t="s">
        <v>375</v>
      </c>
      <c r="C212" s="287">
        <f>SUM(C203:C211)</f>
        <v>29</v>
      </c>
      <c r="D212" s="287">
        <f>SUM(D203:D211)</f>
        <v>9</v>
      </c>
      <c r="E212" s="287">
        <f>SUM(E203:E211)</f>
        <v>43</v>
      </c>
      <c r="F212" s="224"/>
      <c r="G212" s="224"/>
      <c r="H212" s="224"/>
      <c r="I212" s="225"/>
      <c r="J212" s="225"/>
      <c r="K212" s="225"/>
      <c r="L212" s="225"/>
      <c r="M212" s="225"/>
      <c r="N212" s="178"/>
      <c r="O212" s="178"/>
      <c r="P212" s="178"/>
      <c r="Q212" s="179"/>
    </row>
    <row r="213" spans="1:17" s="50" customFormat="1" ht="25" customHeight="1">
      <c r="A213" s="311" t="s">
        <v>146</v>
      </c>
      <c r="B213" s="312" t="s">
        <v>149</v>
      </c>
      <c r="C213" s="272"/>
      <c r="D213" s="272"/>
      <c r="E213" s="272"/>
      <c r="F213" s="224"/>
      <c r="G213" s="224"/>
      <c r="H213" s="224"/>
      <c r="I213" s="225"/>
      <c r="J213" s="225"/>
      <c r="K213" s="225"/>
      <c r="L213" s="225"/>
      <c r="M213" s="225"/>
      <c r="N213" s="178"/>
      <c r="O213" s="178"/>
      <c r="P213" s="178"/>
      <c r="Q213" s="179"/>
    </row>
    <row r="214" spans="1:17" s="50" customFormat="1" ht="25" customHeight="1">
      <c r="A214" s="313" t="s">
        <v>230</v>
      </c>
      <c r="B214" s="269" t="s">
        <v>152</v>
      </c>
      <c r="C214" s="272"/>
      <c r="D214" s="272"/>
      <c r="E214" s="272"/>
      <c r="F214" s="224"/>
      <c r="G214" s="224"/>
      <c r="H214" s="224"/>
      <c r="I214" s="225"/>
      <c r="J214" s="225"/>
      <c r="K214" s="225"/>
      <c r="L214" s="225"/>
      <c r="M214" s="225"/>
      <c r="N214" s="178"/>
      <c r="O214" s="178"/>
      <c r="P214" s="178"/>
      <c r="Q214" s="179"/>
    </row>
    <row r="215" spans="1:17" s="50" customFormat="1" ht="25" customHeight="1">
      <c r="A215" s="313" t="s">
        <v>231</v>
      </c>
      <c r="B215" s="269" t="s">
        <v>151</v>
      </c>
      <c r="C215" s="272"/>
      <c r="D215" s="272"/>
      <c r="E215" s="272"/>
      <c r="F215" s="224"/>
      <c r="G215" s="224"/>
      <c r="H215" s="224"/>
      <c r="I215" s="225"/>
      <c r="J215" s="225"/>
      <c r="K215" s="225"/>
      <c r="L215" s="225"/>
      <c r="M215" s="225"/>
      <c r="N215" s="178"/>
      <c r="O215" s="178"/>
      <c r="P215" s="178"/>
      <c r="Q215" s="179"/>
    </row>
    <row r="216" spans="1:17" s="50" customFormat="1" ht="25" customHeight="1">
      <c r="A216" s="313" t="s">
        <v>232</v>
      </c>
      <c r="B216" s="269" t="s">
        <v>153</v>
      </c>
      <c r="C216" s="272"/>
      <c r="D216" s="272"/>
      <c r="E216" s="272"/>
      <c r="F216" s="224"/>
      <c r="G216" s="224"/>
      <c r="H216" s="224"/>
      <c r="I216" s="225"/>
      <c r="J216" s="225"/>
      <c r="K216" s="225"/>
      <c r="L216" s="225"/>
      <c r="M216" s="225"/>
      <c r="N216" s="178"/>
      <c r="O216" s="178"/>
      <c r="P216" s="178"/>
      <c r="Q216" s="179"/>
    </row>
    <row r="217" spans="1:17" s="50" customFormat="1" ht="25" customHeight="1">
      <c r="A217" s="313" t="s">
        <v>233</v>
      </c>
      <c r="B217" s="269" t="s">
        <v>154</v>
      </c>
      <c r="C217" s="272"/>
      <c r="D217" s="272"/>
      <c r="E217" s="272"/>
      <c r="F217" s="224"/>
      <c r="G217" s="224"/>
      <c r="H217" s="224"/>
      <c r="I217" s="225"/>
      <c r="J217" s="225"/>
      <c r="K217" s="225"/>
      <c r="L217" s="225"/>
      <c r="M217" s="225"/>
      <c r="N217" s="178"/>
      <c r="O217" s="178"/>
      <c r="P217" s="178"/>
      <c r="Q217" s="179"/>
    </row>
    <row r="218" spans="1:17" s="50" customFormat="1" ht="25" customHeight="1">
      <c r="A218" s="313" t="s">
        <v>234</v>
      </c>
      <c r="B218" s="269" t="s">
        <v>155</v>
      </c>
      <c r="C218" s="272"/>
      <c r="D218" s="272"/>
      <c r="E218" s="272"/>
      <c r="F218" s="224"/>
      <c r="G218" s="224"/>
      <c r="H218" s="224"/>
      <c r="I218" s="225"/>
      <c r="J218" s="225"/>
      <c r="K218" s="225"/>
      <c r="L218" s="225"/>
      <c r="M218" s="225"/>
      <c r="N218" s="178"/>
      <c r="O218" s="178"/>
      <c r="P218" s="178"/>
      <c r="Q218" s="179"/>
    </row>
    <row r="219" spans="1:17" s="50" customFormat="1" ht="25" customHeight="1">
      <c r="A219" s="358">
        <v>2</v>
      </c>
      <c r="B219" s="358" t="s">
        <v>162</v>
      </c>
      <c r="C219" s="272"/>
      <c r="D219" s="272"/>
      <c r="E219" s="272"/>
      <c r="F219" s="224"/>
      <c r="G219" s="224"/>
      <c r="H219" s="224"/>
      <c r="I219" s="225"/>
      <c r="J219" s="225"/>
      <c r="K219" s="225"/>
      <c r="L219" s="225"/>
      <c r="M219" s="225"/>
      <c r="N219" s="178"/>
      <c r="O219" s="178"/>
      <c r="P219" s="178"/>
      <c r="Q219" s="179"/>
    </row>
    <row r="220" spans="1:17" s="50" customFormat="1" ht="25" customHeight="1">
      <c r="A220" s="317" t="s">
        <v>145</v>
      </c>
      <c r="B220" s="318" t="s">
        <v>163</v>
      </c>
      <c r="C220" s="272"/>
      <c r="D220" s="272"/>
      <c r="E220" s="272"/>
      <c r="F220" s="180">
        <f>I220+J220+K220</f>
        <v>0</v>
      </c>
      <c r="G220" s="224">
        <v>25</v>
      </c>
      <c r="H220" s="268">
        <f>C220*D220*E220*G220</f>
        <v>0</v>
      </c>
      <c r="I220" s="177">
        <f>IF(G220&lt;70, C220*E220*16.5*1.5, C220*E220*16.5*1.5)</f>
        <v>0</v>
      </c>
      <c r="J220" s="225"/>
      <c r="K220" s="225"/>
      <c r="L220" s="225"/>
      <c r="M220" s="225"/>
      <c r="N220" s="178"/>
      <c r="O220" s="178"/>
      <c r="P220" s="178"/>
      <c r="Q220" s="179"/>
    </row>
    <row r="221" spans="1:17" s="50" customFormat="1" ht="25" customHeight="1">
      <c r="A221" s="269" t="s">
        <v>224</v>
      </c>
      <c r="B221" s="285" t="s">
        <v>428</v>
      </c>
      <c r="C221" s="272">
        <v>3</v>
      </c>
      <c r="D221" s="272">
        <v>1</v>
      </c>
      <c r="E221" s="272">
        <v>3</v>
      </c>
      <c r="F221" s="180">
        <f>I221+J221+K221</f>
        <v>222.75</v>
      </c>
      <c r="G221" s="224">
        <v>15</v>
      </c>
      <c r="H221" s="268">
        <f>C221*D221*E221*G221</f>
        <v>135</v>
      </c>
      <c r="I221" s="177">
        <f>IF(G221&lt;70, C221*E221*16.5*1.5, C221*E221*16.5*1.5)</f>
        <v>222.75</v>
      </c>
      <c r="J221" s="225"/>
      <c r="K221" s="225"/>
      <c r="L221" s="225"/>
      <c r="M221" s="225"/>
      <c r="N221" s="178"/>
      <c r="O221" s="178"/>
      <c r="P221" s="178"/>
      <c r="Q221" s="179"/>
    </row>
    <row r="222" spans="1:17" s="50" customFormat="1" ht="25" customHeight="1">
      <c r="A222" s="269" t="s">
        <v>225</v>
      </c>
      <c r="B222" s="285" t="s">
        <v>429</v>
      </c>
      <c r="C222" s="272">
        <v>3</v>
      </c>
      <c r="D222" s="272">
        <v>1</v>
      </c>
      <c r="E222" s="272">
        <v>1</v>
      </c>
      <c r="F222" s="180">
        <f>I222+J222+K222</f>
        <v>74.25</v>
      </c>
      <c r="G222" s="224">
        <v>25</v>
      </c>
      <c r="H222" s="268">
        <f>C222*D222*E222*G222</f>
        <v>75</v>
      </c>
      <c r="I222" s="177">
        <f>IF(G222&lt;70, C222*E222*16.5*1.5, C222*E222*16.5*1.5)</f>
        <v>74.25</v>
      </c>
      <c r="J222" s="225"/>
      <c r="K222" s="225"/>
      <c r="L222" s="225"/>
      <c r="M222" s="225"/>
      <c r="N222" s="178"/>
      <c r="O222" s="178"/>
      <c r="P222" s="178"/>
      <c r="Q222" s="179"/>
    </row>
    <row r="223" spans="1:17" s="50" customFormat="1" ht="25" customHeight="1">
      <c r="A223" s="269"/>
      <c r="B223" s="285" t="s">
        <v>679</v>
      </c>
      <c r="C223" s="272">
        <v>3</v>
      </c>
      <c r="D223" s="272">
        <v>1</v>
      </c>
      <c r="E223" s="272">
        <v>1</v>
      </c>
      <c r="F223" s="224">
        <f>SUM(F220:F222)</f>
        <v>297</v>
      </c>
      <c r="G223" s="220">
        <f>SUM(G220:G222)</f>
        <v>65</v>
      </c>
      <c r="H223" s="220">
        <f>SUM(H220:H222)</f>
        <v>210</v>
      </c>
      <c r="I223" s="220">
        <f>SUM(I220:I222)</f>
        <v>297</v>
      </c>
      <c r="J223" s="225"/>
      <c r="K223" s="225"/>
      <c r="L223" s="225"/>
      <c r="M223" s="225"/>
      <c r="N223" s="178"/>
      <c r="O223" s="178"/>
      <c r="P223" s="178"/>
      <c r="Q223" s="179"/>
    </row>
    <row r="224" spans="1:17" s="50" customFormat="1" ht="25" customHeight="1">
      <c r="A224" s="269" t="s">
        <v>226</v>
      </c>
      <c r="B224" s="270" t="s">
        <v>430</v>
      </c>
      <c r="C224" s="272">
        <v>3</v>
      </c>
      <c r="D224" s="272">
        <v>1</v>
      </c>
      <c r="E224" s="272">
        <v>3</v>
      </c>
      <c r="F224" s="224"/>
      <c r="G224" s="224"/>
      <c r="H224" s="224"/>
      <c r="I224" s="225"/>
      <c r="J224" s="225"/>
      <c r="K224" s="225"/>
      <c r="L224" s="225"/>
      <c r="M224" s="225"/>
      <c r="N224" s="178"/>
      <c r="O224" s="178"/>
      <c r="P224" s="178"/>
      <c r="Q224" s="179"/>
    </row>
    <row r="225" spans="1:17" s="50" customFormat="1" ht="25" customHeight="1">
      <c r="A225" s="269"/>
      <c r="B225" s="322" t="s">
        <v>375</v>
      </c>
      <c r="C225" s="315">
        <f>SUM(C221:C224)</f>
        <v>12</v>
      </c>
      <c r="D225" s="315">
        <f>SUM(D221:D224)</f>
        <v>4</v>
      </c>
      <c r="E225" s="315">
        <f>SUM(E221:E224)</f>
        <v>8</v>
      </c>
      <c r="F225" s="224"/>
      <c r="G225" s="224"/>
      <c r="H225" s="224"/>
      <c r="I225" s="225"/>
      <c r="J225" s="225"/>
      <c r="K225" s="225"/>
      <c r="L225" s="225"/>
      <c r="M225" s="225"/>
      <c r="N225" s="178"/>
      <c r="O225" s="178"/>
      <c r="P225" s="178"/>
      <c r="Q225" s="179"/>
    </row>
    <row r="226" spans="1:17" s="50" customFormat="1" ht="25" customHeight="1">
      <c r="A226" s="311" t="s">
        <v>146</v>
      </c>
      <c r="B226" s="312" t="s">
        <v>680</v>
      </c>
      <c r="C226" s="272"/>
      <c r="D226" s="272"/>
      <c r="E226" s="272"/>
      <c r="F226" s="224"/>
      <c r="G226" s="224"/>
      <c r="H226" s="224"/>
      <c r="I226" s="225"/>
      <c r="J226" s="225"/>
      <c r="K226" s="225"/>
      <c r="L226" s="225"/>
      <c r="M226" s="225"/>
      <c r="N226" s="178"/>
      <c r="O226" s="178"/>
      <c r="P226" s="178"/>
      <c r="Q226" s="179"/>
    </row>
    <row r="227" spans="1:17" s="50" customFormat="1" ht="25" customHeight="1">
      <c r="A227" s="358">
        <v>3</v>
      </c>
      <c r="B227" s="358" t="s">
        <v>164</v>
      </c>
      <c r="C227" s="272"/>
      <c r="D227" s="272"/>
      <c r="E227" s="272"/>
      <c r="F227" s="224"/>
      <c r="G227" s="224"/>
      <c r="H227" s="224"/>
      <c r="I227" s="225"/>
      <c r="J227" s="225"/>
      <c r="K227" s="225"/>
      <c r="L227" s="225"/>
      <c r="M227" s="225"/>
      <c r="N227" s="178"/>
      <c r="O227" s="178"/>
      <c r="P227" s="178"/>
      <c r="Q227" s="179"/>
    </row>
    <row r="228" spans="1:17" s="50" customFormat="1" ht="25" customHeight="1">
      <c r="A228" s="317" t="s">
        <v>145</v>
      </c>
      <c r="B228" s="318" t="s">
        <v>165</v>
      </c>
      <c r="C228" s="272"/>
      <c r="D228" s="272"/>
      <c r="E228" s="272"/>
      <c r="F228" s="224"/>
      <c r="G228" s="224"/>
      <c r="H228" s="224"/>
      <c r="I228" s="225"/>
      <c r="J228" s="225"/>
      <c r="K228" s="225"/>
      <c r="L228" s="225"/>
      <c r="M228" s="225"/>
      <c r="N228" s="178"/>
      <c r="O228" s="178"/>
      <c r="P228" s="178"/>
      <c r="Q228" s="179"/>
    </row>
    <row r="229" spans="1:17" s="50" customFormat="1" ht="25" customHeight="1">
      <c r="A229" s="311" t="s">
        <v>146</v>
      </c>
      <c r="B229" s="312" t="s">
        <v>166</v>
      </c>
      <c r="C229" s="272"/>
      <c r="D229" s="272"/>
      <c r="E229" s="272"/>
      <c r="F229" s="224">
        <f>F224+F227+F228</f>
        <v>0</v>
      </c>
      <c r="G229" s="220">
        <f>G224+G227+G228</f>
        <v>0</v>
      </c>
      <c r="H229" s="220">
        <f>H224+H227+H228</f>
        <v>0</v>
      </c>
      <c r="I229" s="220">
        <f>I224+I227+I228</f>
        <v>0</v>
      </c>
      <c r="J229" s="225"/>
      <c r="K229" s="225"/>
      <c r="L229" s="225"/>
      <c r="M229" s="225"/>
      <c r="N229" s="178"/>
      <c r="O229" s="178"/>
      <c r="P229" s="178"/>
      <c r="Q229" s="179"/>
    </row>
    <row r="230" spans="1:17" s="50" customFormat="1" ht="25" customHeight="1">
      <c r="A230" s="311" t="s">
        <v>167</v>
      </c>
      <c r="B230" s="312" t="s">
        <v>168</v>
      </c>
      <c r="C230" s="272"/>
      <c r="D230" s="272"/>
      <c r="E230" s="272"/>
      <c r="F230" s="224"/>
      <c r="G230" s="224"/>
      <c r="H230" s="224"/>
      <c r="I230" s="225"/>
      <c r="J230" s="225"/>
      <c r="K230" s="225"/>
      <c r="L230" s="225"/>
      <c r="M230" s="225"/>
      <c r="N230" s="178"/>
      <c r="O230" s="178"/>
      <c r="P230" s="178"/>
      <c r="Q230" s="179"/>
    </row>
    <row r="231" spans="1:17" s="50" customFormat="1" ht="25" customHeight="1">
      <c r="A231" s="313"/>
      <c r="B231" s="314" t="s">
        <v>433</v>
      </c>
      <c r="C231" s="315">
        <f>C229+C230</f>
        <v>0</v>
      </c>
      <c r="D231" s="315">
        <f>D226+D229+D230</f>
        <v>0</v>
      </c>
      <c r="E231" s="315">
        <f>E226+E229+E230</f>
        <v>0</v>
      </c>
      <c r="F231" s="224"/>
      <c r="G231" s="224"/>
      <c r="H231" s="224"/>
      <c r="I231" s="225"/>
      <c r="J231" s="225"/>
      <c r="K231" s="225"/>
      <c r="L231" s="225"/>
      <c r="M231" s="225"/>
      <c r="N231" s="178"/>
      <c r="O231" s="178"/>
      <c r="P231" s="178"/>
      <c r="Q231" s="179"/>
    </row>
    <row r="232" spans="1:17" s="50" customFormat="1" ht="25" customHeight="1">
      <c r="A232" s="358" t="s">
        <v>7</v>
      </c>
      <c r="B232" s="358" t="s">
        <v>222</v>
      </c>
      <c r="C232" s="272"/>
      <c r="D232" s="272"/>
      <c r="E232" s="272"/>
      <c r="F232" s="224"/>
      <c r="G232" s="224"/>
      <c r="H232" s="224"/>
      <c r="I232" s="225"/>
      <c r="J232" s="225"/>
      <c r="K232" s="225"/>
      <c r="L232" s="225"/>
      <c r="M232" s="225"/>
      <c r="N232" s="178"/>
      <c r="O232" s="178"/>
      <c r="P232" s="178"/>
      <c r="Q232" s="179"/>
    </row>
    <row r="233" spans="1:17" s="50" customFormat="1" ht="25" customHeight="1">
      <c r="A233" s="358">
        <v>1</v>
      </c>
      <c r="B233" s="318" t="s">
        <v>223</v>
      </c>
      <c r="C233" s="272"/>
      <c r="D233" s="272"/>
      <c r="E233" s="272"/>
      <c r="F233" s="180">
        <f t="shared" ref="F233:F238" si="31">I233+J233+K233</f>
        <v>0</v>
      </c>
      <c r="G233" s="224">
        <v>60</v>
      </c>
      <c r="H233" s="268">
        <f t="shared" ref="H233:H238" si="32">C233*D233*E233*G233</f>
        <v>0</v>
      </c>
      <c r="I233" s="177">
        <f t="shared" ref="I233:I238" si="33">IF(G233&lt;70, C233*E233*16.5*1, C233*E233*16.5*1.3)</f>
        <v>0</v>
      </c>
      <c r="J233" s="225"/>
      <c r="K233" s="225"/>
      <c r="L233" s="225"/>
      <c r="M233" s="225"/>
      <c r="N233" s="178"/>
      <c r="O233" s="178"/>
      <c r="P233" s="178"/>
      <c r="Q233" s="179"/>
    </row>
    <row r="234" spans="1:17" s="50" customFormat="1" ht="25" customHeight="1">
      <c r="A234" s="358" t="s">
        <v>145</v>
      </c>
      <c r="B234" s="318" t="s">
        <v>161</v>
      </c>
      <c r="C234" s="272"/>
      <c r="D234" s="272"/>
      <c r="E234" s="272"/>
      <c r="F234" s="180">
        <f t="shared" si="31"/>
        <v>0</v>
      </c>
      <c r="G234" s="224">
        <v>60</v>
      </c>
      <c r="H234" s="268">
        <f t="shared" si="32"/>
        <v>0</v>
      </c>
      <c r="I234" s="177">
        <f t="shared" si="33"/>
        <v>0</v>
      </c>
      <c r="J234" s="225"/>
      <c r="K234" s="225"/>
      <c r="L234" s="225"/>
      <c r="M234" s="225"/>
      <c r="N234" s="178"/>
      <c r="O234" s="178"/>
      <c r="P234" s="178"/>
      <c r="Q234" s="179"/>
    </row>
    <row r="235" spans="1:17" s="50" customFormat="1" ht="25" customHeight="1">
      <c r="A235" s="313" t="s">
        <v>224</v>
      </c>
      <c r="B235" s="285" t="s">
        <v>681</v>
      </c>
      <c r="C235" s="272">
        <v>5</v>
      </c>
      <c r="D235" s="272">
        <v>1</v>
      </c>
      <c r="E235" s="272">
        <v>16</v>
      </c>
      <c r="F235" s="180">
        <f t="shared" si="31"/>
        <v>1320</v>
      </c>
      <c r="G235" s="224">
        <v>60</v>
      </c>
      <c r="H235" s="268">
        <f t="shared" si="32"/>
        <v>4800</v>
      </c>
      <c r="I235" s="177">
        <f t="shared" si="33"/>
        <v>1320</v>
      </c>
      <c r="J235" s="225"/>
      <c r="K235" s="225"/>
      <c r="L235" s="225"/>
      <c r="M235" s="225"/>
      <c r="N235" s="178"/>
      <c r="O235" s="178"/>
      <c r="P235" s="178"/>
      <c r="Q235" s="179"/>
    </row>
    <row r="236" spans="1:17" s="50" customFormat="1" ht="25" customHeight="1">
      <c r="A236" s="313" t="s">
        <v>225</v>
      </c>
      <c r="B236" s="285" t="s">
        <v>431</v>
      </c>
      <c r="C236" s="272">
        <v>5</v>
      </c>
      <c r="D236" s="272">
        <v>1</v>
      </c>
      <c r="E236" s="272">
        <v>7</v>
      </c>
      <c r="F236" s="180">
        <f t="shared" si="31"/>
        <v>577.5</v>
      </c>
      <c r="G236" s="224">
        <v>60</v>
      </c>
      <c r="H236" s="268">
        <f t="shared" si="32"/>
        <v>2100</v>
      </c>
      <c r="I236" s="177">
        <f t="shared" si="33"/>
        <v>577.5</v>
      </c>
      <c r="J236" s="225"/>
      <c r="K236" s="225"/>
      <c r="L236" s="225"/>
      <c r="M236" s="225"/>
      <c r="N236" s="178"/>
      <c r="O236" s="178"/>
      <c r="P236" s="178"/>
      <c r="Q236" s="179"/>
    </row>
    <row r="237" spans="1:17" s="50" customFormat="1" ht="25" customHeight="1">
      <c r="A237" s="313" t="s">
        <v>226</v>
      </c>
      <c r="B237" s="285" t="s">
        <v>420</v>
      </c>
      <c r="C237" s="272">
        <v>3</v>
      </c>
      <c r="D237" s="272">
        <v>1</v>
      </c>
      <c r="E237" s="272">
        <v>16</v>
      </c>
      <c r="F237" s="180">
        <f t="shared" si="31"/>
        <v>792</v>
      </c>
      <c r="G237" s="186">
        <v>50</v>
      </c>
      <c r="H237" s="268">
        <f t="shared" si="32"/>
        <v>2400</v>
      </c>
      <c r="I237" s="177">
        <f t="shared" si="33"/>
        <v>792</v>
      </c>
      <c r="J237" s="225"/>
      <c r="K237" s="225"/>
      <c r="L237" s="225"/>
      <c r="M237" s="225"/>
      <c r="N237" s="178"/>
      <c r="O237" s="178"/>
      <c r="P237" s="178"/>
      <c r="Q237" s="179"/>
    </row>
    <row r="238" spans="1:17" s="50" customFormat="1" ht="25" customHeight="1">
      <c r="A238" s="313" t="s">
        <v>227</v>
      </c>
      <c r="B238" s="285" t="s">
        <v>432</v>
      </c>
      <c r="C238" s="272">
        <v>3</v>
      </c>
      <c r="D238" s="272">
        <v>1</v>
      </c>
      <c r="E238" s="272">
        <v>7</v>
      </c>
      <c r="F238" s="180">
        <f t="shared" si="31"/>
        <v>346.5</v>
      </c>
      <c r="G238" s="186">
        <v>50</v>
      </c>
      <c r="H238" s="268">
        <f t="shared" si="32"/>
        <v>1050</v>
      </c>
      <c r="I238" s="177">
        <f t="shared" si="33"/>
        <v>346.5</v>
      </c>
      <c r="J238" s="225"/>
      <c r="K238" s="225"/>
      <c r="L238" s="225"/>
      <c r="M238" s="225"/>
      <c r="N238" s="178"/>
      <c r="O238" s="178"/>
      <c r="P238" s="178"/>
      <c r="Q238" s="179"/>
    </row>
    <row r="239" spans="1:17" s="50" customFormat="1" ht="25" customHeight="1">
      <c r="A239" s="313" t="s">
        <v>228</v>
      </c>
      <c r="B239" s="285" t="s">
        <v>498</v>
      </c>
      <c r="C239" s="276">
        <v>5</v>
      </c>
      <c r="D239" s="276">
        <v>1</v>
      </c>
      <c r="E239" s="276">
        <v>7</v>
      </c>
      <c r="F239" s="200">
        <f>SUM(F233:F238)</f>
        <v>3036</v>
      </c>
      <c r="G239" s="207">
        <f>SUM(G233:G238)</f>
        <v>340</v>
      </c>
      <c r="H239" s="207">
        <f>SUM(H233:H238)</f>
        <v>10350</v>
      </c>
      <c r="I239" s="207">
        <f>SUM(I233:I238)</f>
        <v>3036</v>
      </c>
      <c r="J239" s="178"/>
      <c r="K239" s="178"/>
      <c r="L239" s="178"/>
      <c r="M239" s="178"/>
      <c r="N239" s="178"/>
      <c r="O239" s="178"/>
      <c r="P239" s="178"/>
      <c r="Q239" s="179"/>
    </row>
    <row r="240" spans="1:17" s="50" customFormat="1" ht="25" customHeight="1">
      <c r="A240" s="313" t="s">
        <v>229</v>
      </c>
      <c r="B240" s="285" t="s">
        <v>499</v>
      </c>
      <c r="C240" s="276">
        <v>5</v>
      </c>
      <c r="D240" s="276">
        <v>1</v>
      </c>
      <c r="E240" s="276">
        <v>16</v>
      </c>
      <c r="F240" s="246">
        <f>F211+F223+F229+F239</f>
        <v>5070.45</v>
      </c>
      <c r="G240" s="210">
        <f>G211+G223+G229+G239</f>
        <v>895</v>
      </c>
      <c r="H240" s="210">
        <f>H211+H223+H229+H239</f>
        <v>16230</v>
      </c>
      <c r="I240" s="210">
        <f>I211+I223+I229+I239</f>
        <v>5070.45</v>
      </c>
      <c r="J240" s="229">
        <v>0</v>
      </c>
      <c r="K240" s="230">
        <v>0</v>
      </c>
      <c r="L240" s="191">
        <f>'Bieu3 GDH'!F20</f>
        <v>1080</v>
      </c>
      <c r="M240" s="191">
        <f>'Bieu3 GDH'!N20</f>
        <v>1039.5</v>
      </c>
      <c r="N240" s="187">
        <f>I240-M240</f>
        <v>4030.95</v>
      </c>
      <c r="O240" s="191">
        <f>'Bieu3 GDH'!O20</f>
        <v>805.25</v>
      </c>
      <c r="P240" s="191">
        <f>'Bieu3 GDH'!P20</f>
        <v>370</v>
      </c>
      <c r="Q240" s="192"/>
    </row>
    <row r="241" spans="1:17" s="50" customFormat="1" ht="25" customHeight="1">
      <c r="A241" s="274"/>
      <c r="B241" s="284" t="s">
        <v>375</v>
      </c>
      <c r="C241" s="287">
        <f>SUM(C235:C240)</f>
        <v>26</v>
      </c>
      <c r="D241" s="287">
        <f>SUM(D235:D240)</f>
        <v>6</v>
      </c>
      <c r="E241" s="287">
        <f>SUM(E235:E240)</f>
        <v>69</v>
      </c>
      <c r="F241" s="365"/>
      <c r="G241" s="364"/>
      <c r="H241" s="364"/>
      <c r="I241" s="364"/>
      <c r="J241" s="366"/>
      <c r="K241" s="367"/>
      <c r="L241" s="294"/>
      <c r="M241" s="294"/>
      <c r="N241" s="289"/>
      <c r="O241" s="294"/>
      <c r="P241" s="294"/>
      <c r="Q241" s="295"/>
    </row>
    <row r="242" spans="1:17" s="50" customFormat="1" ht="25" customHeight="1">
      <c r="A242" s="327"/>
      <c r="B242" s="368" t="s">
        <v>434</v>
      </c>
      <c r="C242" s="321">
        <f>C4+C212+C225+C231+C241</f>
        <v>67</v>
      </c>
      <c r="D242" s="321">
        <f>D212+D225+D231+D241</f>
        <v>19</v>
      </c>
      <c r="E242" s="321">
        <f>E212+E225+E231+E241</f>
        <v>120</v>
      </c>
      <c r="F242" s="365"/>
      <c r="G242" s="364"/>
      <c r="H242" s="364"/>
      <c r="I242" s="364"/>
      <c r="J242" s="366"/>
      <c r="K242" s="367"/>
      <c r="L242" s="294"/>
      <c r="M242" s="294"/>
      <c r="N242" s="289"/>
      <c r="O242" s="294"/>
      <c r="P242" s="294"/>
      <c r="Q242" s="295"/>
    </row>
    <row r="243" spans="1:17" s="50" customFormat="1" ht="25" customHeight="1">
      <c r="A243" s="168" t="s">
        <v>5</v>
      </c>
      <c r="B243" s="168" t="s">
        <v>478</v>
      </c>
      <c r="C243" s="169"/>
      <c r="D243" s="169"/>
      <c r="E243" s="169"/>
      <c r="F243" s="244"/>
      <c r="G243" s="169"/>
      <c r="H243" s="169"/>
      <c r="I243" s="169"/>
      <c r="J243" s="169"/>
      <c r="K243" s="211"/>
      <c r="L243" s="212"/>
      <c r="M243" s="213"/>
      <c r="N243" s="213"/>
      <c r="O243" s="213"/>
      <c r="P243" s="213"/>
      <c r="Q243" s="213"/>
    </row>
    <row r="244" spans="1:17" s="50" customFormat="1" ht="25" customHeight="1">
      <c r="A244" s="168" t="s">
        <v>6</v>
      </c>
      <c r="B244" s="168" t="s">
        <v>221</v>
      </c>
      <c r="C244" s="169"/>
      <c r="D244" s="169"/>
      <c r="E244" s="169"/>
      <c r="F244" s="244"/>
      <c r="G244" s="169"/>
      <c r="H244" s="169"/>
      <c r="I244" s="169"/>
      <c r="J244" s="169"/>
      <c r="K244" s="211"/>
      <c r="L244" s="212"/>
      <c r="M244" s="213"/>
      <c r="N244" s="213"/>
      <c r="O244" s="213"/>
      <c r="P244" s="213"/>
      <c r="Q244" s="213"/>
    </row>
    <row r="245" spans="1:17" s="50" customFormat="1" ht="25" customHeight="1">
      <c r="A245" s="168">
        <v>1</v>
      </c>
      <c r="B245" s="168" t="s">
        <v>4</v>
      </c>
      <c r="C245" s="169"/>
      <c r="D245" s="169"/>
      <c r="E245" s="169"/>
      <c r="F245" s="244"/>
      <c r="G245" s="169"/>
      <c r="H245" s="169"/>
      <c r="I245" s="169"/>
      <c r="J245" s="169"/>
      <c r="K245" s="211"/>
      <c r="L245" s="212"/>
      <c r="M245" s="213"/>
      <c r="N245" s="213"/>
      <c r="O245" s="213"/>
      <c r="P245" s="213"/>
      <c r="Q245" s="213"/>
    </row>
    <row r="246" spans="1:17" s="50" customFormat="1" ht="25" customHeight="1">
      <c r="A246" s="170" t="s">
        <v>145</v>
      </c>
      <c r="B246" s="171" t="s">
        <v>159</v>
      </c>
      <c r="C246" s="172"/>
      <c r="D246" s="172"/>
      <c r="E246" s="172"/>
      <c r="F246" s="268"/>
      <c r="G246" s="172"/>
      <c r="H246" s="172"/>
      <c r="I246" s="173"/>
      <c r="J246" s="173"/>
      <c r="K246" s="211"/>
      <c r="L246" s="212"/>
      <c r="M246" s="213"/>
      <c r="N246" s="213"/>
      <c r="O246" s="213"/>
      <c r="P246" s="213"/>
      <c r="Q246" s="213"/>
    </row>
    <row r="247" spans="1:17" s="50" customFormat="1" ht="25" customHeight="1">
      <c r="A247" s="288" t="s">
        <v>224</v>
      </c>
      <c r="B247" s="296" t="s">
        <v>435</v>
      </c>
      <c r="C247" s="272">
        <v>2</v>
      </c>
      <c r="D247" s="297">
        <v>1</v>
      </c>
      <c r="E247" s="272">
        <v>1</v>
      </c>
      <c r="F247" s="180">
        <f t="shared" ref="F247:F272" si="34">I247+J247+K247</f>
        <v>33</v>
      </c>
      <c r="G247" s="268">
        <v>40</v>
      </c>
      <c r="H247" s="268">
        <f t="shared" ref="H247:H271" si="35">C247*D247*E247*G247</f>
        <v>80</v>
      </c>
      <c r="I247" s="177">
        <f t="shared" ref="I247:I272" si="36">IF(G247&lt;70, C247*E247*16.5*1, C247*E247*16.5*1.3)</f>
        <v>33</v>
      </c>
      <c r="J247" s="173"/>
      <c r="K247" s="211"/>
      <c r="L247" s="212"/>
      <c r="M247" s="213"/>
      <c r="N247" s="213"/>
      <c r="O247" s="213"/>
      <c r="P247" s="213"/>
      <c r="Q247" s="213"/>
    </row>
    <row r="248" spans="1:17" s="50" customFormat="1" ht="25" customHeight="1">
      <c r="A248" s="288" t="s">
        <v>225</v>
      </c>
      <c r="B248" s="323" t="s">
        <v>436</v>
      </c>
      <c r="C248" s="272">
        <v>3</v>
      </c>
      <c r="D248" s="272">
        <v>1</v>
      </c>
      <c r="E248" s="272">
        <v>1</v>
      </c>
      <c r="F248" s="180">
        <f t="shared" si="34"/>
        <v>49.5</v>
      </c>
      <c r="G248" s="268">
        <v>20</v>
      </c>
      <c r="H248" s="268">
        <f t="shared" si="35"/>
        <v>60</v>
      </c>
      <c r="I248" s="177">
        <f t="shared" si="36"/>
        <v>49.5</v>
      </c>
      <c r="J248" s="173"/>
      <c r="K248" s="211"/>
      <c r="L248" s="212"/>
      <c r="M248" s="213"/>
      <c r="N248" s="213"/>
      <c r="O248" s="213"/>
      <c r="P248" s="213"/>
      <c r="Q248" s="213"/>
    </row>
    <row r="249" spans="1:17" s="50" customFormat="1" ht="25" customHeight="1">
      <c r="A249" s="288" t="s">
        <v>226</v>
      </c>
      <c r="B249" s="270" t="s">
        <v>437</v>
      </c>
      <c r="C249" s="272">
        <v>2</v>
      </c>
      <c r="D249" s="272">
        <v>1</v>
      </c>
      <c r="E249" s="272">
        <v>3</v>
      </c>
      <c r="F249" s="180">
        <f t="shared" si="34"/>
        <v>128.70000000000002</v>
      </c>
      <c r="G249" s="268">
        <v>80</v>
      </c>
      <c r="H249" s="268">
        <f t="shared" si="35"/>
        <v>480</v>
      </c>
      <c r="I249" s="177">
        <f t="shared" si="36"/>
        <v>128.70000000000002</v>
      </c>
      <c r="J249" s="178"/>
      <c r="K249" s="211"/>
      <c r="L249" s="212"/>
      <c r="M249" s="213"/>
      <c r="N249" s="213"/>
      <c r="O249" s="213"/>
      <c r="P249" s="213"/>
      <c r="Q249" s="213"/>
    </row>
    <row r="250" spans="1:17" s="50" customFormat="1" ht="25" customHeight="1">
      <c r="A250" s="288" t="s">
        <v>227</v>
      </c>
      <c r="B250" s="296" t="s">
        <v>438</v>
      </c>
      <c r="C250" s="272">
        <v>3</v>
      </c>
      <c r="D250" s="272">
        <v>1</v>
      </c>
      <c r="E250" s="272">
        <v>1</v>
      </c>
      <c r="F250" s="180">
        <f t="shared" si="34"/>
        <v>64.350000000000009</v>
      </c>
      <c r="G250" s="268">
        <v>80</v>
      </c>
      <c r="H250" s="268">
        <f t="shared" si="35"/>
        <v>240</v>
      </c>
      <c r="I250" s="177">
        <f t="shared" si="36"/>
        <v>64.350000000000009</v>
      </c>
      <c r="J250" s="173"/>
      <c r="K250" s="211"/>
      <c r="L250" s="212"/>
      <c r="M250" s="213"/>
      <c r="N250" s="213"/>
      <c r="O250" s="213"/>
      <c r="P250" s="213"/>
      <c r="Q250" s="213"/>
    </row>
    <row r="251" spans="1:17" s="50" customFormat="1" ht="25" customHeight="1">
      <c r="A251" s="288" t="s">
        <v>228</v>
      </c>
      <c r="B251" s="270" t="s">
        <v>437</v>
      </c>
      <c r="C251" s="272">
        <v>2</v>
      </c>
      <c r="D251" s="272">
        <v>1</v>
      </c>
      <c r="E251" s="272">
        <v>2</v>
      </c>
      <c r="F251" s="180">
        <f t="shared" si="34"/>
        <v>85.8</v>
      </c>
      <c r="G251" s="268">
        <v>80</v>
      </c>
      <c r="H251" s="268">
        <f t="shared" si="35"/>
        <v>320</v>
      </c>
      <c r="I251" s="177">
        <f t="shared" si="36"/>
        <v>85.8</v>
      </c>
      <c r="J251" s="173"/>
      <c r="K251" s="211"/>
      <c r="L251" s="212"/>
      <c r="M251" s="213"/>
      <c r="N251" s="213"/>
      <c r="O251" s="213"/>
      <c r="P251" s="213"/>
      <c r="Q251" s="213"/>
    </row>
    <row r="252" spans="1:17" s="50" customFormat="1" ht="25" customHeight="1">
      <c r="A252" s="288" t="s">
        <v>229</v>
      </c>
      <c r="B252" s="296" t="s">
        <v>435</v>
      </c>
      <c r="C252" s="272">
        <v>2</v>
      </c>
      <c r="D252" s="272">
        <v>1</v>
      </c>
      <c r="E252" s="272">
        <v>1</v>
      </c>
      <c r="F252" s="180">
        <f t="shared" si="34"/>
        <v>42.9</v>
      </c>
      <c r="G252" s="268">
        <v>80</v>
      </c>
      <c r="H252" s="268">
        <f t="shared" si="35"/>
        <v>160</v>
      </c>
      <c r="I252" s="177">
        <f t="shared" si="36"/>
        <v>42.9</v>
      </c>
      <c r="J252" s="173"/>
      <c r="K252" s="211"/>
      <c r="L252" s="212"/>
      <c r="M252" s="213"/>
      <c r="N252" s="213"/>
      <c r="O252" s="213"/>
      <c r="P252" s="213"/>
      <c r="Q252" s="213"/>
    </row>
    <row r="253" spans="1:17" s="50" customFormat="1" ht="25" customHeight="1">
      <c r="A253" s="288" t="s">
        <v>280</v>
      </c>
      <c r="B253" s="285" t="s">
        <v>439</v>
      </c>
      <c r="C253" s="271">
        <v>3</v>
      </c>
      <c r="D253" s="297">
        <v>1</v>
      </c>
      <c r="E253" s="271">
        <v>1</v>
      </c>
      <c r="F253" s="180">
        <f t="shared" si="34"/>
        <v>49.5</v>
      </c>
      <c r="G253" s="177">
        <v>40</v>
      </c>
      <c r="H253" s="268">
        <f t="shared" si="35"/>
        <v>120</v>
      </c>
      <c r="I253" s="177">
        <f t="shared" si="36"/>
        <v>49.5</v>
      </c>
      <c r="J253" s="173"/>
      <c r="K253" s="211"/>
      <c r="L253" s="212"/>
      <c r="M253" s="213"/>
      <c r="N253" s="213"/>
      <c r="O253" s="213"/>
      <c r="P253" s="213"/>
      <c r="Q253" s="213"/>
    </row>
    <row r="254" spans="1:17" s="50" customFormat="1" ht="25" customHeight="1">
      <c r="A254" s="288" t="s">
        <v>281</v>
      </c>
      <c r="B254" s="285" t="s">
        <v>440</v>
      </c>
      <c r="C254" s="271">
        <v>2</v>
      </c>
      <c r="D254" s="297">
        <v>1</v>
      </c>
      <c r="E254" s="271">
        <v>1</v>
      </c>
      <c r="F254" s="180">
        <f t="shared" si="34"/>
        <v>33</v>
      </c>
      <c r="G254" s="177">
        <v>40</v>
      </c>
      <c r="H254" s="268">
        <f t="shared" si="35"/>
        <v>80</v>
      </c>
      <c r="I254" s="177">
        <f t="shared" si="36"/>
        <v>33</v>
      </c>
      <c r="J254" s="173"/>
      <c r="K254" s="211"/>
      <c r="L254" s="212"/>
      <c r="M254" s="213"/>
      <c r="N254" s="213"/>
      <c r="O254" s="213"/>
      <c r="P254" s="213"/>
      <c r="Q254" s="213"/>
    </row>
    <row r="255" spans="1:17" s="50" customFormat="1" ht="25" customHeight="1">
      <c r="A255" s="288" t="s">
        <v>282</v>
      </c>
      <c r="B255" s="285" t="s">
        <v>441</v>
      </c>
      <c r="C255" s="271">
        <v>3</v>
      </c>
      <c r="D255" s="297">
        <v>1</v>
      </c>
      <c r="E255" s="271">
        <v>1</v>
      </c>
      <c r="F255" s="180">
        <f t="shared" si="34"/>
        <v>49.5</v>
      </c>
      <c r="G255" s="177">
        <v>30</v>
      </c>
      <c r="H255" s="268">
        <f t="shared" si="35"/>
        <v>90</v>
      </c>
      <c r="I255" s="177">
        <f t="shared" si="36"/>
        <v>49.5</v>
      </c>
      <c r="J255" s="173"/>
      <c r="K255" s="211"/>
      <c r="L255" s="212"/>
      <c r="M255" s="213"/>
      <c r="N255" s="213"/>
      <c r="O255" s="213"/>
      <c r="P255" s="213"/>
      <c r="Q255" s="213"/>
    </row>
    <row r="256" spans="1:17" s="50" customFormat="1" ht="25" customHeight="1">
      <c r="A256" s="288" t="s">
        <v>283</v>
      </c>
      <c r="B256" s="285" t="s">
        <v>442</v>
      </c>
      <c r="C256" s="271">
        <v>4</v>
      </c>
      <c r="D256" s="297">
        <v>1</v>
      </c>
      <c r="E256" s="271">
        <v>1</v>
      </c>
      <c r="F256" s="180">
        <f t="shared" si="34"/>
        <v>66</v>
      </c>
      <c r="G256" s="177">
        <v>30</v>
      </c>
      <c r="H256" s="268">
        <f t="shared" si="35"/>
        <v>120</v>
      </c>
      <c r="I256" s="177">
        <f t="shared" si="36"/>
        <v>66</v>
      </c>
      <c r="J256" s="173"/>
      <c r="K256" s="211"/>
      <c r="L256" s="212"/>
      <c r="M256" s="213"/>
      <c r="N256" s="213"/>
      <c r="O256" s="213"/>
      <c r="P256" s="213"/>
      <c r="Q256" s="213"/>
    </row>
    <row r="257" spans="1:17" s="50" customFormat="1" ht="25" customHeight="1">
      <c r="A257" s="288" t="s">
        <v>284</v>
      </c>
      <c r="B257" s="296" t="s">
        <v>435</v>
      </c>
      <c r="C257" s="271">
        <v>2</v>
      </c>
      <c r="D257" s="297">
        <v>1</v>
      </c>
      <c r="E257" s="271">
        <v>1</v>
      </c>
      <c r="F257" s="180">
        <f t="shared" si="34"/>
        <v>42.9</v>
      </c>
      <c r="G257" s="177">
        <v>80</v>
      </c>
      <c r="H257" s="268">
        <f t="shared" si="35"/>
        <v>160</v>
      </c>
      <c r="I257" s="177">
        <f t="shared" si="36"/>
        <v>42.9</v>
      </c>
      <c r="J257" s="173"/>
      <c r="K257" s="211"/>
      <c r="L257" s="212"/>
      <c r="M257" s="213"/>
      <c r="N257" s="213"/>
      <c r="O257" s="213"/>
      <c r="P257" s="213"/>
      <c r="Q257" s="213"/>
    </row>
    <row r="258" spans="1:17" s="50" customFormat="1" ht="25" customHeight="1">
      <c r="A258" s="288" t="s">
        <v>287</v>
      </c>
      <c r="B258" s="270" t="s">
        <v>437</v>
      </c>
      <c r="C258" s="272">
        <v>2</v>
      </c>
      <c r="D258" s="272">
        <v>1</v>
      </c>
      <c r="E258" s="271">
        <v>1</v>
      </c>
      <c r="F258" s="180">
        <f t="shared" si="34"/>
        <v>42.9</v>
      </c>
      <c r="G258" s="268">
        <v>80</v>
      </c>
      <c r="H258" s="268">
        <f t="shared" si="35"/>
        <v>160</v>
      </c>
      <c r="I258" s="177">
        <f t="shared" si="36"/>
        <v>42.9</v>
      </c>
      <c r="J258" s="173"/>
      <c r="K258" s="211"/>
      <c r="L258" s="212"/>
      <c r="M258" s="213"/>
      <c r="N258" s="213"/>
      <c r="O258" s="213"/>
      <c r="P258" s="213"/>
      <c r="Q258" s="213"/>
    </row>
    <row r="259" spans="1:17" s="50" customFormat="1" ht="25" customHeight="1">
      <c r="A259" s="288" t="s">
        <v>288</v>
      </c>
      <c r="B259" s="285" t="s">
        <v>443</v>
      </c>
      <c r="C259" s="272">
        <v>4</v>
      </c>
      <c r="D259" s="272">
        <v>1</v>
      </c>
      <c r="E259" s="272">
        <v>1</v>
      </c>
      <c r="F259" s="180">
        <f t="shared" si="34"/>
        <v>66</v>
      </c>
      <c r="G259" s="268">
        <v>30</v>
      </c>
      <c r="H259" s="268">
        <f t="shared" si="35"/>
        <v>120</v>
      </c>
      <c r="I259" s="177">
        <f t="shared" si="36"/>
        <v>66</v>
      </c>
      <c r="J259" s="173"/>
      <c r="K259" s="211"/>
      <c r="L259" s="212"/>
      <c r="M259" s="213"/>
      <c r="N259" s="213"/>
      <c r="O259" s="213"/>
      <c r="P259" s="213"/>
      <c r="Q259" s="213"/>
    </row>
    <row r="260" spans="1:17" s="50" customFormat="1" ht="25" customHeight="1">
      <c r="A260" s="288" t="s">
        <v>289</v>
      </c>
      <c r="B260" s="285" t="s">
        <v>444</v>
      </c>
      <c r="C260" s="324">
        <v>4</v>
      </c>
      <c r="D260" s="301">
        <v>1</v>
      </c>
      <c r="E260" s="301">
        <v>1</v>
      </c>
      <c r="F260" s="180">
        <f t="shared" si="34"/>
        <v>66</v>
      </c>
      <c r="G260" s="251">
        <v>40</v>
      </c>
      <c r="H260" s="268">
        <f t="shared" si="35"/>
        <v>160</v>
      </c>
      <c r="I260" s="177">
        <f t="shared" si="36"/>
        <v>66</v>
      </c>
      <c r="J260" s="173"/>
      <c r="K260" s="211"/>
      <c r="L260" s="212"/>
      <c r="M260" s="213"/>
      <c r="N260" s="213"/>
      <c r="O260" s="213"/>
      <c r="P260" s="213"/>
      <c r="Q260" s="213"/>
    </row>
    <row r="261" spans="1:17" s="50" customFormat="1" ht="25" customHeight="1">
      <c r="A261" s="288" t="s">
        <v>290</v>
      </c>
      <c r="B261" s="296" t="s">
        <v>435</v>
      </c>
      <c r="C261" s="324">
        <v>2</v>
      </c>
      <c r="D261" s="301">
        <v>1</v>
      </c>
      <c r="E261" s="301">
        <v>1</v>
      </c>
      <c r="F261" s="180">
        <f t="shared" si="34"/>
        <v>42.9</v>
      </c>
      <c r="G261" s="251">
        <v>89</v>
      </c>
      <c r="H261" s="268">
        <f t="shared" si="35"/>
        <v>178</v>
      </c>
      <c r="I261" s="177">
        <f t="shared" si="36"/>
        <v>42.9</v>
      </c>
      <c r="J261" s="173"/>
      <c r="K261" s="211"/>
      <c r="L261" s="212"/>
      <c r="M261" s="213"/>
      <c r="N261" s="213"/>
      <c r="O261" s="213"/>
      <c r="P261" s="213"/>
      <c r="Q261" s="213"/>
    </row>
    <row r="262" spans="1:17" s="50" customFormat="1" ht="25" customHeight="1">
      <c r="A262" s="288" t="s">
        <v>389</v>
      </c>
      <c r="B262" s="285" t="s">
        <v>445</v>
      </c>
      <c r="C262" s="324">
        <v>3</v>
      </c>
      <c r="D262" s="301">
        <v>1</v>
      </c>
      <c r="E262" s="301">
        <v>1</v>
      </c>
      <c r="F262" s="180">
        <f t="shared" si="34"/>
        <v>49.5</v>
      </c>
      <c r="G262" s="251">
        <v>40</v>
      </c>
      <c r="H262" s="268">
        <f t="shared" si="35"/>
        <v>120</v>
      </c>
      <c r="I262" s="177">
        <f t="shared" si="36"/>
        <v>49.5</v>
      </c>
      <c r="J262" s="178"/>
      <c r="K262" s="211"/>
      <c r="L262" s="212"/>
      <c r="M262" s="213"/>
      <c r="N262" s="213"/>
      <c r="O262" s="213"/>
      <c r="P262" s="213"/>
      <c r="Q262" s="213"/>
    </row>
    <row r="263" spans="1:17" s="50" customFormat="1" ht="25" customHeight="1">
      <c r="A263" s="288" t="s">
        <v>390</v>
      </c>
      <c r="B263" s="270" t="s">
        <v>437</v>
      </c>
      <c r="C263" s="272">
        <v>2</v>
      </c>
      <c r="D263" s="272">
        <v>1</v>
      </c>
      <c r="E263" s="272">
        <v>1</v>
      </c>
      <c r="F263" s="180">
        <f t="shared" si="34"/>
        <v>42.9</v>
      </c>
      <c r="G263" s="268">
        <v>80</v>
      </c>
      <c r="H263" s="268">
        <f t="shared" si="35"/>
        <v>160</v>
      </c>
      <c r="I263" s="177">
        <f t="shared" si="36"/>
        <v>42.9</v>
      </c>
      <c r="J263" s="178"/>
      <c r="K263" s="211"/>
      <c r="L263" s="212"/>
      <c r="M263" s="213"/>
      <c r="N263" s="213"/>
      <c r="O263" s="213"/>
      <c r="P263" s="213"/>
      <c r="Q263" s="213"/>
    </row>
    <row r="264" spans="1:17" s="50" customFormat="1" ht="25" customHeight="1">
      <c r="A264" s="288" t="s">
        <v>391</v>
      </c>
      <c r="B264" s="325" t="s">
        <v>446</v>
      </c>
      <c r="C264" s="272">
        <v>2</v>
      </c>
      <c r="D264" s="272">
        <v>1</v>
      </c>
      <c r="E264" s="272">
        <v>1</v>
      </c>
      <c r="F264" s="180">
        <f t="shared" si="34"/>
        <v>33</v>
      </c>
      <c r="G264" s="268">
        <v>40</v>
      </c>
      <c r="H264" s="268">
        <f t="shared" si="35"/>
        <v>80</v>
      </c>
      <c r="I264" s="177">
        <f t="shared" si="36"/>
        <v>33</v>
      </c>
      <c r="J264" s="178"/>
      <c r="K264" s="211"/>
      <c r="L264" s="212"/>
      <c r="M264" s="213"/>
      <c r="N264" s="213"/>
      <c r="O264" s="213"/>
      <c r="P264" s="213"/>
      <c r="Q264" s="213"/>
    </row>
    <row r="265" spans="1:17" s="50" customFormat="1" ht="25" customHeight="1">
      <c r="A265" s="288" t="s">
        <v>392</v>
      </c>
      <c r="B265" s="285" t="s">
        <v>447</v>
      </c>
      <c r="C265" s="272">
        <v>3</v>
      </c>
      <c r="D265" s="272">
        <v>1</v>
      </c>
      <c r="E265" s="272">
        <v>1</v>
      </c>
      <c r="F265" s="180">
        <f t="shared" si="34"/>
        <v>49.5</v>
      </c>
      <c r="G265" s="268">
        <v>40</v>
      </c>
      <c r="H265" s="268">
        <f t="shared" si="35"/>
        <v>120</v>
      </c>
      <c r="I265" s="177">
        <f t="shared" si="36"/>
        <v>49.5</v>
      </c>
      <c r="J265" s="178"/>
      <c r="K265" s="211"/>
      <c r="L265" s="212"/>
      <c r="M265" s="213"/>
      <c r="N265" s="213"/>
      <c r="O265" s="213"/>
      <c r="P265" s="213"/>
      <c r="Q265" s="213"/>
    </row>
    <row r="266" spans="1:17" s="50" customFormat="1" ht="25" customHeight="1">
      <c r="A266" s="288" t="s">
        <v>393</v>
      </c>
      <c r="B266" s="285" t="s">
        <v>448</v>
      </c>
      <c r="C266" s="272">
        <v>2</v>
      </c>
      <c r="D266" s="272">
        <v>1</v>
      </c>
      <c r="E266" s="272">
        <v>1</v>
      </c>
      <c r="F266" s="180">
        <f t="shared" si="34"/>
        <v>42.9</v>
      </c>
      <c r="G266" s="268">
        <v>80</v>
      </c>
      <c r="H266" s="268">
        <f t="shared" si="35"/>
        <v>160</v>
      </c>
      <c r="I266" s="177">
        <f t="shared" si="36"/>
        <v>42.9</v>
      </c>
      <c r="J266" s="178"/>
      <c r="K266" s="211"/>
      <c r="L266" s="212"/>
      <c r="M266" s="213"/>
      <c r="N266" s="213"/>
      <c r="O266" s="213"/>
      <c r="P266" s="213"/>
      <c r="Q266" s="213"/>
    </row>
    <row r="267" spans="1:17" s="50" customFormat="1" ht="25" customHeight="1">
      <c r="A267" s="288" t="s">
        <v>394</v>
      </c>
      <c r="B267" s="285" t="s">
        <v>440</v>
      </c>
      <c r="C267" s="271">
        <v>2</v>
      </c>
      <c r="D267" s="302">
        <v>1</v>
      </c>
      <c r="E267" s="302">
        <v>1</v>
      </c>
      <c r="F267" s="180">
        <f t="shared" si="34"/>
        <v>33</v>
      </c>
      <c r="G267" s="181">
        <v>40</v>
      </c>
      <c r="H267" s="268">
        <f t="shared" si="35"/>
        <v>80</v>
      </c>
      <c r="I267" s="177">
        <f t="shared" si="36"/>
        <v>33</v>
      </c>
      <c r="J267" s="178"/>
      <c r="K267" s="211"/>
      <c r="L267" s="212"/>
      <c r="M267" s="213"/>
      <c r="N267" s="213"/>
      <c r="O267" s="213"/>
      <c r="P267" s="213"/>
      <c r="Q267" s="213"/>
    </row>
    <row r="268" spans="1:17" s="50" customFormat="1" ht="25" customHeight="1">
      <c r="A268" s="288" t="s">
        <v>395</v>
      </c>
      <c r="B268" s="285" t="s">
        <v>448</v>
      </c>
      <c r="C268" s="272">
        <v>2</v>
      </c>
      <c r="D268" s="272">
        <v>1.3</v>
      </c>
      <c r="E268" s="272">
        <v>1</v>
      </c>
      <c r="F268" s="180">
        <f t="shared" si="34"/>
        <v>33</v>
      </c>
      <c r="G268" s="268">
        <v>40</v>
      </c>
      <c r="H268" s="268">
        <f t="shared" si="35"/>
        <v>104</v>
      </c>
      <c r="I268" s="177">
        <f t="shared" si="36"/>
        <v>33</v>
      </c>
      <c r="J268" s="178"/>
      <c r="K268" s="211"/>
      <c r="L268" s="212"/>
      <c r="M268" s="213"/>
      <c r="N268" s="213"/>
      <c r="O268" s="213"/>
      <c r="P268" s="213"/>
      <c r="Q268" s="213"/>
    </row>
    <row r="269" spans="1:17" s="50" customFormat="1" ht="25" customHeight="1">
      <c r="A269" s="288" t="s">
        <v>396</v>
      </c>
      <c r="B269" s="285" t="s">
        <v>449</v>
      </c>
      <c r="C269" s="272">
        <v>4</v>
      </c>
      <c r="D269" s="272">
        <v>1</v>
      </c>
      <c r="E269" s="272">
        <v>1</v>
      </c>
      <c r="F269" s="180">
        <f t="shared" si="34"/>
        <v>66</v>
      </c>
      <c r="G269" s="268">
        <v>40</v>
      </c>
      <c r="H269" s="268">
        <f t="shared" si="35"/>
        <v>160</v>
      </c>
      <c r="I269" s="177">
        <f t="shared" si="36"/>
        <v>66</v>
      </c>
      <c r="J269" s="178"/>
      <c r="K269" s="211"/>
      <c r="L269" s="212"/>
      <c r="M269" s="213"/>
      <c r="N269" s="213"/>
      <c r="O269" s="213"/>
      <c r="P269" s="213"/>
      <c r="Q269" s="213"/>
    </row>
    <row r="270" spans="1:17" s="50" customFormat="1" ht="25" customHeight="1">
      <c r="A270" s="288" t="s">
        <v>397</v>
      </c>
      <c r="B270" s="285" t="s">
        <v>450</v>
      </c>
      <c r="C270" s="272">
        <v>4</v>
      </c>
      <c r="D270" s="272">
        <v>1</v>
      </c>
      <c r="E270" s="272">
        <v>1</v>
      </c>
      <c r="F270" s="180">
        <f t="shared" si="34"/>
        <v>66</v>
      </c>
      <c r="G270" s="268">
        <v>40</v>
      </c>
      <c r="H270" s="268">
        <f t="shared" si="35"/>
        <v>160</v>
      </c>
      <c r="I270" s="177">
        <f t="shared" si="36"/>
        <v>66</v>
      </c>
      <c r="J270" s="178"/>
      <c r="K270" s="211"/>
      <c r="L270" s="212"/>
      <c r="M270" s="213"/>
      <c r="N270" s="213"/>
      <c r="O270" s="213"/>
      <c r="P270" s="213"/>
      <c r="Q270" s="213"/>
    </row>
    <row r="271" spans="1:17" s="50" customFormat="1" ht="25" customHeight="1">
      <c r="A271" s="288" t="s">
        <v>398</v>
      </c>
      <c r="B271" s="285" t="s">
        <v>451</v>
      </c>
      <c r="C271" s="272">
        <v>3</v>
      </c>
      <c r="D271" s="272">
        <v>1</v>
      </c>
      <c r="E271" s="272">
        <v>1</v>
      </c>
      <c r="F271" s="180">
        <f t="shared" si="34"/>
        <v>49.5</v>
      </c>
      <c r="G271" s="268">
        <v>40</v>
      </c>
      <c r="H271" s="268">
        <f t="shared" si="35"/>
        <v>120</v>
      </c>
      <c r="I271" s="177">
        <f t="shared" si="36"/>
        <v>49.5</v>
      </c>
      <c r="J271" s="178"/>
      <c r="K271" s="211"/>
      <c r="L271" s="212"/>
      <c r="M271" s="213"/>
      <c r="N271" s="213"/>
      <c r="O271" s="213"/>
      <c r="P271" s="213"/>
      <c r="Q271" s="213"/>
    </row>
    <row r="272" spans="1:17" s="50" customFormat="1" ht="25" customHeight="1">
      <c r="A272" s="288" t="s">
        <v>399</v>
      </c>
      <c r="B272" s="285" t="s">
        <v>452</v>
      </c>
      <c r="C272" s="272">
        <v>1</v>
      </c>
      <c r="D272" s="272">
        <v>1.3</v>
      </c>
      <c r="E272" s="272">
        <v>1</v>
      </c>
      <c r="F272" s="180">
        <f t="shared" si="34"/>
        <v>16.5</v>
      </c>
      <c r="G272" s="268">
        <v>40</v>
      </c>
      <c r="H272" s="268">
        <f>C272*D272*E272*G272</f>
        <v>52</v>
      </c>
      <c r="I272" s="177">
        <f t="shared" si="36"/>
        <v>16.5</v>
      </c>
      <c r="J272" s="178"/>
      <c r="K272" s="211"/>
      <c r="L272" s="212"/>
      <c r="M272" s="213"/>
      <c r="N272" s="213"/>
      <c r="O272" s="213"/>
      <c r="P272" s="213"/>
      <c r="Q272" s="213"/>
    </row>
    <row r="273" spans="1:17" s="50" customFormat="1" ht="25" customHeight="1">
      <c r="A273" s="269"/>
      <c r="B273" s="326" t="s">
        <v>375</v>
      </c>
      <c r="C273" s="271">
        <f>SUM(C247:C272)</f>
        <v>68</v>
      </c>
      <c r="D273" s="271">
        <f t="shared" ref="D273:I273" si="37">SUM(D247:D272)</f>
        <v>26.6</v>
      </c>
      <c r="E273" s="271">
        <f t="shared" si="37"/>
        <v>29</v>
      </c>
      <c r="F273" s="196">
        <f t="shared" si="37"/>
        <v>1344.75</v>
      </c>
      <c r="G273" s="196">
        <f t="shared" si="37"/>
        <v>1359</v>
      </c>
      <c r="H273" s="196">
        <f t="shared" si="37"/>
        <v>3844</v>
      </c>
      <c r="I273" s="196">
        <f t="shared" si="37"/>
        <v>1344.75</v>
      </c>
      <c r="J273" s="178"/>
      <c r="K273" s="211"/>
      <c r="L273" s="212"/>
      <c r="M273" s="213"/>
      <c r="N273" s="213"/>
      <c r="O273" s="213"/>
      <c r="P273" s="213"/>
      <c r="Q273" s="213"/>
    </row>
    <row r="274" spans="1:17" s="50" customFormat="1" ht="25" customHeight="1">
      <c r="A274" s="311" t="s">
        <v>146</v>
      </c>
      <c r="B274" s="312" t="s">
        <v>149</v>
      </c>
      <c r="C274" s="272"/>
      <c r="D274" s="272"/>
      <c r="E274" s="272"/>
      <c r="F274" s="268"/>
      <c r="G274" s="268"/>
      <c r="H274" s="268"/>
      <c r="I274" s="178"/>
      <c r="J274" s="178"/>
      <c r="K274" s="211"/>
      <c r="L274" s="212"/>
      <c r="M274" s="213"/>
      <c r="N274" s="213"/>
      <c r="O274" s="213"/>
      <c r="P274" s="213"/>
      <c r="Q274" s="213"/>
    </row>
    <row r="275" spans="1:17" s="50" customFormat="1" ht="25" customHeight="1">
      <c r="A275" s="313" t="s">
        <v>230</v>
      </c>
      <c r="B275" s="269" t="s">
        <v>152</v>
      </c>
      <c r="C275" s="272"/>
      <c r="D275" s="272"/>
      <c r="E275" s="272"/>
      <c r="F275" s="268"/>
      <c r="G275" s="268"/>
      <c r="H275" s="268"/>
      <c r="I275" s="178"/>
      <c r="J275" s="178"/>
      <c r="K275" s="211"/>
      <c r="L275" s="212"/>
      <c r="M275" s="213"/>
      <c r="N275" s="213"/>
      <c r="O275" s="213"/>
      <c r="P275" s="213"/>
      <c r="Q275" s="213"/>
    </row>
    <row r="276" spans="1:17" s="50" customFormat="1" ht="25" customHeight="1">
      <c r="A276" s="313" t="s">
        <v>231</v>
      </c>
      <c r="B276" s="269" t="s">
        <v>151</v>
      </c>
      <c r="C276" s="272"/>
      <c r="D276" s="272"/>
      <c r="E276" s="272"/>
      <c r="F276" s="268"/>
      <c r="G276" s="268"/>
      <c r="H276" s="268"/>
      <c r="I276" s="178"/>
      <c r="J276" s="178"/>
      <c r="K276" s="211"/>
      <c r="L276" s="212"/>
      <c r="M276" s="213"/>
      <c r="N276" s="213"/>
      <c r="O276" s="213"/>
      <c r="P276" s="213"/>
      <c r="Q276" s="213"/>
    </row>
    <row r="277" spans="1:17" s="50" customFormat="1" ht="25" customHeight="1">
      <c r="A277" s="327" t="s">
        <v>232</v>
      </c>
      <c r="B277" s="328" t="s">
        <v>153</v>
      </c>
      <c r="C277" s="329">
        <v>5</v>
      </c>
      <c r="D277" s="329" t="s">
        <v>649</v>
      </c>
      <c r="E277" s="329">
        <v>21</v>
      </c>
      <c r="F277" s="268"/>
      <c r="G277" s="268"/>
      <c r="H277" s="268"/>
      <c r="I277" s="178"/>
      <c r="J277" s="178"/>
      <c r="K277" s="211"/>
      <c r="L277" s="212"/>
      <c r="M277" s="213"/>
      <c r="N277" s="213"/>
      <c r="O277" s="213"/>
      <c r="P277" s="213"/>
      <c r="Q277" s="213"/>
    </row>
    <row r="278" spans="1:17" s="50" customFormat="1" ht="25" customHeight="1">
      <c r="A278" s="327" t="s">
        <v>233</v>
      </c>
      <c r="B278" s="328" t="s">
        <v>154</v>
      </c>
      <c r="C278" s="329">
        <v>5</v>
      </c>
      <c r="D278" s="329" t="s">
        <v>649</v>
      </c>
      <c r="E278" s="329">
        <v>21</v>
      </c>
      <c r="F278" s="268"/>
      <c r="G278" s="268"/>
      <c r="H278" s="268"/>
      <c r="I278" s="178"/>
      <c r="J278" s="178"/>
      <c r="K278" s="211"/>
      <c r="L278" s="212"/>
      <c r="M278" s="213"/>
      <c r="N278" s="213"/>
      <c r="O278" s="213"/>
      <c r="P278" s="213"/>
      <c r="Q278" s="213"/>
    </row>
    <row r="279" spans="1:17" s="50" customFormat="1" ht="25" customHeight="1">
      <c r="A279" s="313" t="s">
        <v>234</v>
      </c>
      <c r="B279" s="269" t="s">
        <v>155</v>
      </c>
      <c r="C279" s="272"/>
      <c r="D279" s="272"/>
      <c r="E279" s="272"/>
      <c r="F279" s="268"/>
      <c r="G279" s="268"/>
      <c r="H279" s="268"/>
      <c r="I279" s="178"/>
      <c r="J279" s="178"/>
      <c r="K279" s="211"/>
      <c r="L279" s="212"/>
      <c r="M279" s="213"/>
      <c r="N279" s="213"/>
      <c r="O279" s="213"/>
      <c r="P279" s="213"/>
      <c r="Q279" s="213"/>
    </row>
    <row r="280" spans="1:17" s="50" customFormat="1" ht="25" customHeight="1">
      <c r="A280" s="316">
        <v>2</v>
      </c>
      <c r="B280" s="316" t="s">
        <v>162</v>
      </c>
      <c r="C280" s="272"/>
      <c r="D280" s="272"/>
      <c r="E280" s="272"/>
      <c r="F280" s="268"/>
      <c r="G280" s="268"/>
      <c r="H280" s="268"/>
      <c r="I280" s="178"/>
      <c r="J280" s="178"/>
      <c r="K280" s="211"/>
      <c r="L280" s="212"/>
      <c r="M280" s="213"/>
      <c r="N280" s="213"/>
      <c r="O280" s="213"/>
      <c r="P280" s="213"/>
      <c r="Q280" s="213"/>
    </row>
    <row r="281" spans="1:17" s="50" customFormat="1" ht="25" customHeight="1">
      <c r="A281" s="317" t="s">
        <v>145</v>
      </c>
      <c r="B281" s="318" t="s">
        <v>163</v>
      </c>
      <c r="C281" s="272"/>
      <c r="D281" s="272"/>
      <c r="E281" s="272"/>
      <c r="F281" s="268"/>
      <c r="G281" s="268"/>
      <c r="H281" s="268"/>
      <c r="I281" s="178"/>
      <c r="J281" s="178"/>
      <c r="K281" s="211"/>
      <c r="L281" s="212"/>
      <c r="M281" s="213"/>
      <c r="N281" s="213"/>
      <c r="O281" s="213"/>
      <c r="P281" s="213"/>
      <c r="Q281" s="213"/>
    </row>
    <row r="282" spans="1:17" s="50" customFormat="1" ht="25" customHeight="1">
      <c r="A282" s="269" t="s">
        <v>224</v>
      </c>
      <c r="B282" s="270" t="s">
        <v>453</v>
      </c>
      <c r="C282" s="272">
        <v>3</v>
      </c>
      <c r="D282" s="272">
        <v>1</v>
      </c>
      <c r="E282" s="272">
        <v>6</v>
      </c>
      <c r="F282" s="180">
        <f t="shared" ref="F282:F294" si="38">I282+J282+K282</f>
        <v>445.5</v>
      </c>
      <c r="G282" s="268">
        <v>30</v>
      </c>
      <c r="H282" s="268">
        <f t="shared" ref="H282:H294" si="39">C282*D282*E282*G282</f>
        <v>540</v>
      </c>
      <c r="I282" s="177">
        <f>IF(G282&lt;70, C282*E282*16.5*1.5, C282*E282*16.5*1.5)</f>
        <v>445.5</v>
      </c>
      <c r="J282" s="178"/>
      <c r="K282" s="211"/>
      <c r="L282" s="212"/>
      <c r="M282" s="213"/>
      <c r="N282" s="213"/>
      <c r="O282" s="213"/>
      <c r="P282" s="213"/>
      <c r="Q282" s="213"/>
    </row>
    <row r="283" spans="1:17" s="50" customFormat="1" ht="25" customHeight="1">
      <c r="A283" s="269" t="s">
        <v>225</v>
      </c>
      <c r="B283" s="270" t="s">
        <v>454</v>
      </c>
      <c r="C283" s="272">
        <v>3</v>
      </c>
      <c r="D283" s="272">
        <v>1</v>
      </c>
      <c r="E283" s="272">
        <v>6</v>
      </c>
      <c r="F283" s="180">
        <f t="shared" si="38"/>
        <v>445.5</v>
      </c>
      <c r="G283" s="268">
        <v>30</v>
      </c>
      <c r="H283" s="268">
        <f t="shared" si="39"/>
        <v>540</v>
      </c>
      <c r="I283" s="177">
        <f t="shared" ref="I283:I289" si="40">IF(G283&lt;70, C283*E283*16.5*1.5, C283*E283*16.5*1.5)</f>
        <v>445.5</v>
      </c>
      <c r="J283" s="178"/>
      <c r="K283" s="211"/>
      <c r="L283" s="212"/>
      <c r="M283" s="213"/>
      <c r="N283" s="213"/>
      <c r="O283" s="213"/>
      <c r="P283" s="213"/>
      <c r="Q283" s="213"/>
    </row>
    <row r="284" spans="1:17" s="50" customFormat="1" ht="25" customHeight="1">
      <c r="A284" s="269" t="s">
        <v>226</v>
      </c>
      <c r="B284" s="270" t="s">
        <v>455</v>
      </c>
      <c r="C284" s="272">
        <v>3</v>
      </c>
      <c r="D284" s="272">
        <v>1</v>
      </c>
      <c r="E284" s="272">
        <v>1</v>
      </c>
      <c r="F284" s="180">
        <f t="shared" si="38"/>
        <v>74.25</v>
      </c>
      <c r="G284" s="268">
        <v>30</v>
      </c>
      <c r="H284" s="268">
        <f t="shared" si="39"/>
        <v>90</v>
      </c>
      <c r="I284" s="177">
        <f t="shared" si="40"/>
        <v>74.25</v>
      </c>
      <c r="J284" s="178"/>
      <c r="K284" s="211"/>
      <c r="L284" s="212"/>
      <c r="M284" s="213"/>
      <c r="N284" s="213"/>
      <c r="O284" s="213"/>
      <c r="P284" s="213"/>
      <c r="Q284" s="213"/>
    </row>
    <row r="285" spans="1:17" s="50" customFormat="1" ht="25" customHeight="1">
      <c r="A285" s="269" t="s">
        <v>227</v>
      </c>
      <c r="B285" s="270" t="s">
        <v>456</v>
      </c>
      <c r="C285" s="272">
        <v>3</v>
      </c>
      <c r="D285" s="272">
        <v>1</v>
      </c>
      <c r="E285" s="272">
        <v>1</v>
      </c>
      <c r="F285" s="180">
        <f t="shared" si="38"/>
        <v>74.25</v>
      </c>
      <c r="G285" s="268">
        <v>30</v>
      </c>
      <c r="H285" s="268">
        <f t="shared" si="39"/>
        <v>90</v>
      </c>
      <c r="I285" s="177">
        <f t="shared" si="40"/>
        <v>74.25</v>
      </c>
      <c r="J285" s="178"/>
      <c r="K285" s="211"/>
      <c r="L285" s="212"/>
      <c r="M285" s="213"/>
      <c r="N285" s="213"/>
      <c r="O285" s="213"/>
      <c r="P285" s="213"/>
      <c r="Q285" s="213"/>
    </row>
    <row r="286" spans="1:17" s="50" customFormat="1" ht="25" customHeight="1">
      <c r="A286" s="269" t="s">
        <v>228</v>
      </c>
      <c r="B286" s="273" t="s">
        <v>457</v>
      </c>
      <c r="C286" s="272">
        <v>3</v>
      </c>
      <c r="D286" s="272">
        <v>1</v>
      </c>
      <c r="E286" s="272">
        <v>6</v>
      </c>
      <c r="F286" s="180">
        <f t="shared" si="38"/>
        <v>445.5</v>
      </c>
      <c r="G286" s="268">
        <v>30</v>
      </c>
      <c r="H286" s="268">
        <f t="shared" si="39"/>
        <v>540</v>
      </c>
      <c r="I286" s="177">
        <f t="shared" si="40"/>
        <v>445.5</v>
      </c>
      <c r="J286" s="178"/>
      <c r="K286" s="211"/>
      <c r="L286" s="212"/>
      <c r="M286" s="213"/>
      <c r="N286" s="213"/>
      <c r="O286" s="213"/>
      <c r="P286" s="213"/>
      <c r="Q286" s="213"/>
    </row>
    <row r="287" spans="1:17" s="50" customFormat="1" ht="25" customHeight="1">
      <c r="A287" s="269" t="s">
        <v>229</v>
      </c>
      <c r="B287" s="273" t="s">
        <v>458</v>
      </c>
      <c r="C287" s="272">
        <v>3</v>
      </c>
      <c r="D287" s="272">
        <v>1</v>
      </c>
      <c r="E287" s="272">
        <v>6</v>
      </c>
      <c r="F287" s="180">
        <f t="shared" si="38"/>
        <v>445.5</v>
      </c>
      <c r="G287" s="268">
        <v>30</v>
      </c>
      <c r="H287" s="268">
        <f t="shared" si="39"/>
        <v>540</v>
      </c>
      <c r="I287" s="177">
        <f t="shared" si="40"/>
        <v>445.5</v>
      </c>
      <c r="J287" s="178"/>
      <c r="K287" s="183"/>
      <c r="L287" s="171"/>
      <c r="M287" s="231"/>
      <c r="N287" s="231"/>
      <c r="O287" s="231"/>
      <c r="P287" s="231"/>
      <c r="Q287" s="231"/>
    </row>
    <row r="288" spans="1:17" s="50" customFormat="1" ht="25" customHeight="1">
      <c r="A288" s="269" t="s">
        <v>280</v>
      </c>
      <c r="B288" s="273" t="s">
        <v>459</v>
      </c>
      <c r="C288" s="272">
        <v>3</v>
      </c>
      <c r="D288" s="272">
        <v>1</v>
      </c>
      <c r="E288" s="272">
        <v>1</v>
      </c>
      <c r="F288" s="180">
        <f t="shared" si="38"/>
        <v>74.25</v>
      </c>
      <c r="G288" s="268">
        <v>30</v>
      </c>
      <c r="H288" s="268">
        <f t="shared" si="39"/>
        <v>90</v>
      </c>
      <c r="I288" s="177">
        <f t="shared" si="40"/>
        <v>74.25</v>
      </c>
      <c r="J288" s="178"/>
      <c r="K288" s="168"/>
      <c r="L288" s="168"/>
      <c r="M288" s="231"/>
      <c r="N288" s="231"/>
      <c r="O288" s="231"/>
      <c r="P288" s="231"/>
      <c r="Q288" s="231"/>
    </row>
    <row r="289" spans="1:17" s="50" customFormat="1" ht="25" customHeight="1">
      <c r="A289" s="269" t="s">
        <v>281</v>
      </c>
      <c r="B289" s="273" t="s">
        <v>460</v>
      </c>
      <c r="C289" s="272">
        <v>3</v>
      </c>
      <c r="D289" s="272">
        <v>1</v>
      </c>
      <c r="E289" s="272">
        <v>1</v>
      </c>
      <c r="F289" s="180">
        <f t="shared" si="38"/>
        <v>74.25</v>
      </c>
      <c r="G289" s="268">
        <v>30</v>
      </c>
      <c r="H289" s="268">
        <f t="shared" si="39"/>
        <v>90</v>
      </c>
      <c r="I289" s="177">
        <f t="shared" si="40"/>
        <v>74.25</v>
      </c>
      <c r="J289" s="178"/>
      <c r="K289" s="183"/>
      <c r="L289" s="168"/>
      <c r="M289" s="231"/>
      <c r="N289" s="231"/>
      <c r="O289" s="231"/>
      <c r="P289" s="231"/>
      <c r="Q289" s="231"/>
    </row>
    <row r="290" spans="1:17" s="50" customFormat="1" ht="25" customHeight="1">
      <c r="A290" s="269" t="s">
        <v>282</v>
      </c>
      <c r="B290" s="273" t="s">
        <v>461</v>
      </c>
      <c r="C290" s="272">
        <v>3</v>
      </c>
      <c r="D290" s="272">
        <v>1</v>
      </c>
      <c r="E290" s="272">
        <v>6</v>
      </c>
      <c r="F290" s="180">
        <f t="shared" si="38"/>
        <v>445.5</v>
      </c>
      <c r="G290" s="268">
        <v>30</v>
      </c>
      <c r="H290" s="268">
        <f t="shared" si="39"/>
        <v>540</v>
      </c>
      <c r="I290" s="229"/>
      <c r="J290" s="177">
        <f>IF(G290&lt;70, C290*E290*16.5*1.5, C290*E290*16.5*1.5)</f>
        <v>445.5</v>
      </c>
      <c r="K290" s="168"/>
      <c r="L290" s="168"/>
      <c r="M290" s="231"/>
      <c r="N290" s="231"/>
      <c r="O290" s="231"/>
      <c r="P290" s="231"/>
      <c r="Q290" s="231"/>
    </row>
    <row r="291" spans="1:17" s="50" customFormat="1" ht="25" customHeight="1">
      <c r="A291" s="269" t="s">
        <v>283</v>
      </c>
      <c r="B291" s="273" t="s">
        <v>462</v>
      </c>
      <c r="C291" s="272">
        <v>3</v>
      </c>
      <c r="D291" s="272">
        <v>1</v>
      </c>
      <c r="E291" s="272">
        <v>6</v>
      </c>
      <c r="F291" s="180">
        <f t="shared" si="38"/>
        <v>445.5</v>
      </c>
      <c r="G291" s="268">
        <v>30</v>
      </c>
      <c r="H291" s="268">
        <f t="shared" si="39"/>
        <v>540</v>
      </c>
      <c r="I291" s="229"/>
      <c r="J291" s="177">
        <f>IF(G291&lt;70, C291*E291*16.5*1.5, C291*E291*16.5*1.5)</f>
        <v>445.5</v>
      </c>
      <c r="K291" s="168"/>
      <c r="L291" s="168"/>
      <c r="M291" s="231"/>
      <c r="N291" s="231"/>
      <c r="O291" s="231"/>
      <c r="P291" s="231"/>
      <c r="Q291" s="231"/>
    </row>
    <row r="292" spans="1:17" s="253" customFormat="1" ht="25" customHeight="1">
      <c r="A292" s="269" t="s">
        <v>284</v>
      </c>
      <c r="B292" s="273" t="s">
        <v>463</v>
      </c>
      <c r="C292" s="272">
        <v>3</v>
      </c>
      <c r="D292" s="272">
        <v>1</v>
      </c>
      <c r="E292" s="272">
        <v>1</v>
      </c>
      <c r="F292" s="180">
        <f t="shared" si="38"/>
        <v>74.25</v>
      </c>
      <c r="G292" s="268">
        <v>30</v>
      </c>
      <c r="H292" s="268">
        <f t="shared" si="39"/>
        <v>90</v>
      </c>
      <c r="I292" s="251"/>
      <c r="J292" s="177">
        <f>IF(G292&lt;70, C292*E292*16.5*1.5, C292*E292*16.5*1.5)</f>
        <v>74.25</v>
      </c>
      <c r="K292" s="164"/>
      <c r="L292" s="185"/>
      <c r="M292" s="231"/>
      <c r="N292" s="231"/>
      <c r="O292" s="231"/>
      <c r="P292" s="231"/>
      <c r="Q292" s="231"/>
    </row>
    <row r="293" spans="1:17" s="253" customFormat="1" ht="25" customHeight="1">
      <c r="A293" s="269" t="s">
        <v>287</v>
      </c>
      <c r="B293" s="273" t="s">
        <v>464</v>
      </c>
      <c r="C293" s="272">
        <v>3</v>
      </c>
      <c r="D293" s="272">
        <v>1</v>
      </c>
      <c r="E293" s="272">
        <v>1</v>
      </c>
      <c r="F293" s="180">
        <f t="shared" si="38"/>
        <v>74.25</v>
      </c>
      <c r="G293" s="268">
        <v>30</v>
      </c>
      <c r="H293" s="268">
        <f t="shared" si="39"/>
        <v>90</v>
      </c>
      <c r="I293" s="251"/>
      <c r="J293" s="177">
        <f>IF(G293&lt;70, C293*E293*16.5*1.5, C293*E293*16.5*1.5)</f>
        <v>74.25</v>
      </c>
      <c r="K293" s="164"/>
      <c r="L293" s="185"/>
      <c r="M293" s="231"/>
      <c r="N293" s="231"/>
      <c r="O293" s="231"/>
      <c r="P293" s="231"/>
      <c r="Q293" s="231"/>
    </row>
    <row r="294" spans="1:17" s="253" customFormat="1" ht="25" customHeight="1">
      <c r="A294" s="269" t="s">
        <v>288</v>
      </c>
      <c r="B294" s="273" t="s">
        <v>458</v>
      </c>
      <c r="C294" s="272">
        <v>3</v>
      </c>
      <c r="D294" s="272">
        <v>1</v>
      </c>
      <c r="E294" s="272">
        <v>1</v>
      </c>
      <c r="F294" s="180">
        <f t="shared" si="38"/>
        <v>74.25</v>
      </c>
      <c r="G294" s="268">
        <v>30</v>
      </c>
      <c r="H294" s="268">
        <f t="shared" si="39"/>
        <v>90</v>
      </c>
      <c r="I294" s="178"/>
      <c r="J294" s="177">
        <f>IF(G294&lt;70, C294*E294*16.5*1.5, C294*E294*16.5*1.5)</f>
        <v>74.25</v>
      </c>
      <c r="K294" s="232"/>
      <c r="L294" s="232"/>
      <c r="M294" s="233"/>
      <c r="N294" s="233"/>
      <c r="O294" s="233"/>
      <c r="P294" s="233"/>
      <c r="Q294" s="233"/>
    </row>
    <row r="295" spans="1:17" s="253" customFormat="1" ht="25" customHeight="1">
      <c r="A295" s="330"/>
      <c r="B295" s="314" t="s">
        <v>375</v>
      </c>
      <c r="C295" s="315">
        <f>SUM(C282:C294)</f>
        <v>39</v>
      </c>
      <c r="D295" s="315">
        <f t="shared" ref="D295:J295" si="41">SUM(D282:D294)</f>
        <v>13</v>
      </c>
      <c r="E295" s="315">
        <f t="shared" si="41"/>
        <v>43</v>
      </c>
      <c r="F295" s="172">
        <f t="shared" si="41"/>
        <v>3192.75</v>
      </c>
      <c r="G295" s="172">
        <f t="shared" si="41"/>
        <v>390</v>
      </c>
      <c r="H295" s="172">
        <f t="shared" si="41"/>
        <v>3870</v>
      </c>
      <c r="I295" s="172">
        <f t="shared" si="41"/>
        <v>2079</v>
      </c>
      <c r="J295" s="172">
        <f t="shared" si="41"/>
        <v>1113.75</v>
      </c>
      <c r="K295" s="232"/>
      <c r="L295" s="232"/>
      <c r="M295" s="233"/>
      <c r="N295" s="233"/>
      <c r="O295" s="233"/>
      <c r="P295" s="233"/>
      <c r="Q295" s="233"/>
    </row>
    <row r="296" spans="1:17" s="253" customFormat="1" ht="25" customHeight="1">
      <c r="A296" s="311" t="s">
        <v>146</v>
      </c>
      <c r="B296" s="312" t="s">
        <v>500</v>
      </c>
      <c r="C296" s="272"/>
      <c r="D296" s="272"/>
      <c r="E296" s="272"/>
      <c r="F296" s="268"/>
      <c r="G296" s="268"/>
      <c r="H296" s="268"/>
      <c r="I296" s="178"/>
      <c r="J296" s="178"/>
      <c r="K296" s="232"/>
      <c r="L296" s="232"/>
      <c r="M296" s="233"/>
      <c r="N296" s="233"/>
      <c r="O296" s="233"/>
      <c r="P296" s="233"/>
      <c r="Q296" s="233"/>
    </row>
    <row r="297" spans="1:17" s="253" customFormat="1" ht="25" customHeight="1">
      <c r="A297" s="313" t="s">
        <v>505</v>
      </c>
      <c r="B297" s="269" t="s">
        <v>466</v>
      </c>
      <c r="C297" s="272">
        <v>15</v>
      </c>
      <c r="D297" s="272">
        <v>1</v>
      </c>
      <c r="E297" s="272">
        <v>1</v>
      </c>
      <c r="F297" s="180">
        <f>I297+J297+K297</f>
        <v>175</v>
      </c>
      <c r="G297" s="268">
        <v>5</v>
      </c>
      <c r="H297" s="268">
        <f>C297*G297</f>
        <v>75</v>
      </c>
      <c r="I297" s="177">
        <f>G297*35</f>
        <v>175</v>
      </c>
      <c r="J297" s="178"/>
      <c r="K297" s="232"/>
      <c r="L297" s="234"/>
      <c r="M297" s="234"/>
      <c r="N297" s="234"/>
      <c r="O297" s="234"/>
      <c r="P297" s="234"/>
      <c r="Q297" s="234"/>
    </row>
    <row r="298" spans="1:17" s="253" customFormat="1" ht="25" customHeight="1">
      <c r="A298" s="313" t="s">
        <v>506</v>
      </c>
      <c r="B298" s="269" t="s">
        <v>650</v>
      </c>
      <c r="C298" s="272">
        <v>15</v>
      </c>
      <c r="D298" s="272">
        <v>1</v>
      </c>
      <c r="E298" s="272">
        <v>1</v>
      </c>
      <c r="F298" s="180">
        <f t="shared" ref="F298:F307" si="42">I298+J298+K298</f>
        <v>175</v>
      </c>
      <c r="G298" s="268">
        <v>5</v>
      </c>
      <c r="H298" s="268">
        <f>C298*G298</f>
        <v>75</v>
      </c>
      <c r="I298" s="177"/>
      <c r="J298" s="177">
        <f>G298*35</f>
        <v>175</v>
      </c>
      <c r="K298" s="232"/>
      <c r="L298" s="235"/>
      <c r="M298" s="235"/>
      <c r="N298" s="235"/>
      <c r="O298" s="235"/>
      <c r="P298" s="235"/>
      <c r="Q298" s="235"/>
    </row>
    <row r="299" spans="1:17" s="253" customFormat="1" ht="25" customHeight="1">
      <c r="A299" s="313" t="s">
        <v>507</v>
      </c>
      <c r="B299" s="269" t="s">
        <v>467</v>
      </c>
      <c r="C299" s="272">
        <v>15</v>
      </c>
      <c r="D299" s="272">
        <v>1</v>
      </c>
      <c r="E299" s="272">
        <v>1</v>
      </c>
      <c r="F299" s="180">
        <f t="shared" si="42"/>
        <v>175</v>
      </c>
      <c r="G299" s="268">
        <v>5</v>
      </c>
      <c r="H299" s="268">
        <f>C299*G299*E299*D299</f>
        <v>75</v>
      </c>
      <c r="I299" s="177">
        <f>G299*35</f>
        <v>175</v>
      </c>
      <c r="J299" s="177"/>
      <c r="K299" s="232"/>
      <c r="L299" s="236"/>
      <c r="M299" s="236"/>
      <c r="N299" s="236"/>
      <c r="O299" s="236"/>
      <c r="P299" s="236"/>
      <c r="Q299" s="236"/>
    </row>
    <row r="300" spans="1:17" s="253" customFormat="1" ht="25" customHeight="1">
      <c r="A300" s="313" t="s">
        <v>508</v>
      </c>
      <c r="B300" s="269" t="s">
        <v>468</v>
      </c>
      <c r="C300" s="272">
        <v>15</v>
      </c>
      <c r="D300" s="272">
        <v>1</v>
      </c>
      <c r="E300" s="272">
        <v>1</v>
      </c>
      <c r="F300" s="180">
        <f t="shared" si="42"/>
        <v>175</v>
      </c>
      <c r="G300" s="268">
        <v>5</v>
      </c>
      <c r="H300" s="268">
        <f t="shared" ref="H300:H307" si="43">C300*G300*E300*D300</f>
        <v>75</v>
      </c>
      <c r="I300" s="178"/>
      <c r="J300" s="177">
        <f>G300*35</f>
        <v>175</v>
      </c>
      <c r="K300" s="232"/>
      <c r="L300" s="232"/>
      <c r="M300" s="1867"/>
      <c r="N300" s="1867"/>
      <c r="O300" s="1867"/>
      <c r="P300" s="1867"/>
      <c r="Q300" s="1867"/>
    </row>
    <row r="301" spans="1:17" s="253" customFormat="1" ht="25" customHeight="1">
      <c r="A301" s="313" t="s">
        <v>509</v>
      </c>
      <c r="B301" s="269" t="s">
        <v>469</v>
      </c>
      <c r="C301" s="272">
        <v>15</v>
      </c>
      <c r="D301" s="272">
        <v>1</v>
      </c>
      <c r="E301" s="272">
        <v>1</v>
      </c>
      <c r="F301" s="180">
        <f t="shared" si="42"/>
        <v>175</v>
      </c>
      <c r="G301" s="268">
        <v>5</v>
      </c>
      <c r="H301" s="268">
        <f t="shared" si="43"/>
        <v>75</v>
      </c>
      <c r="I301" s="178"/>
      <c r="J301" s="177">
        <f>G301*35</f>
        <v>175</v>
      </c>
      <c r="K301" s="232"/>
      <c r="L301" s="232"/>
      <c r="M301" s="233"/>
      <c r="N301" s="233"/>
      <c r="O301" s="233"/>
      <c r="P301" s="233"/>
      <c r="Q301" s="233"/>
    </row>
    <row r="302" spans="1:17" ht="25" customHeight="1">
      <c r="A302" s="313" t="s">
        <v>510</v>
      </c>
      <c r="B302" s="269" t="s">
        <v>501</v>
      </c>
      <c r="C302" s="272">
        <v>15</v>
      </c>
      <c r="D302" s="272">
        <v>1</v>
      </c>
      <c r="E302" s="272">
        <v>1</v>
      </c>
      <c r="F302" s="180">
        <f t="shared" si="42"/>
        <v>175</v>
      </c>
      <c r="G302" s="268">
        <v>5</v>
      </c>
      <c r="H302" s="268">
        <f t="shared" si="43"/>
        <v>75</v>
      </c>
      <c r="I302" s="177">
        <f>G302*35</f>
        <v>175</v>
      </c>
      <c r="J302" s="254"/>
      <c r="K302" s="232"/>
      <c r="L302" s="232"/>
      <c r="M302" s="233"/>
      <c r="N302" s="233"/>
      <c r="O302" s="233"/>
      <c r="P302" s="233"/>
      <c r="Q302" s="233"/>
    </row>
    <row r="303" spans="1:17" ht="25" customHeight="1">
      <c r="A303" s="313" t="s">
        <v>511</v>
      </c>
      <c r="B303" s="269" t="s">
        <v>502</v>
      </c>
      <c r="C303" s="272">
        <v>15</v>
      </c>
      <c r="D303" s="272">
        <v>1</v>
      </c>
      <c r="E303" s="272">
        <v>1</v>
      </c>
      <c r="F303" s="180">
        <f t="shared" si="42"/>
        <v>175</v>
      </c>
      <c r="G303" s="268">
        <v>5</v>
      </c>
      <c r="H303" s="268">
        <f t="shared" si="43"/>
        <v>75</v>
      </c>
      <c r="I303" s="177">
        <f>G303*35</f>
        <v>175</v>
      </c>
      <c r="J303" s="254"/>
      <c r="K303" s="232"/>
      <c r="L303" s="232"/>
      <c r="M303" s="237"/>
      <c r="N303" s="237"/>
      <c r="O303" s="237"/>
      <c r="P303" s="237"/>
      <c r="Q303" s="237"/>
    </row>
    <row r="304" spans="1:17" ht="25" customHeight="1">
      <c r="A304" s="313" t="s">
        <v>512</v>
      </c>
      <c r="B304" s="275" t="s">
        <v>503</v>
      </c>
      <c r="C304" s="272">
        <v>15</v>
      </c>
      <c r="D304" s="272">
        <v>1</v>
      </c>
      <c r="E304" s="272">
        <v>1</v>
      </c>
      <c r="F304" s="180">
        <f t="shared" si="42"/>
        <v>175</v>
      </c>
      <c r="G304" s="268">
        <v>5</v>
      </c>
      <c r="H304" s="268">
        <f t="shared" si="43"/>
        <v>75</v>
      </c>
      <c r="I304" s="177">
        <f>G304*35</f>
        <v>175</v>
      </c>
      <c r="J304" s="255"/>
      <c r="K304" s="232"/>
      <c r="L304" s="232"/>
      <c r="M304" s="237"/>
      <c r="N304" s="237"/>
      <c r="O304" s="237"/>
      <c r="P304" s="237"/>
      <c r="Q304" s="237"/>
    </row>
    <row r="305" spans="1:17" ht="25" customHeight="1">
      <c r="A305" s="313" t="s">
        <v>513</v>
      </c>
      <c r="B305" s="275" t="s">
        <v>504</v>
      </c>
      <c r="C305" s="272">
        <v>15</v>
      </c>
      <c r="D305" s="272">
        <v>1</v>
      </c>
      <c r="E305" s="272">
        <v>1</v>
      </c>
      <c r="F305" s="180">
        <f t="shared" si="42"/>
        <v>175</v>
      </c>
      <c r="G305" s="268">
        <v>5</v>
      </c>
      <c r="H305" s="268">
        <f t="shared" si="43"/>
        <v>75</v>
      </c>
      <c r="I305" s="177">
        <f>G305*35</f>
        <v>175</v>
      </c>
      <c r="J305" s="177"/>
      <c r="K305" s="232"/>
      <c r="L305" s="232"/>
      <c r="M305" s="237"/>
      <c r="N305" s="237"/>
      <c r="O305" s="237"/>
      <c r="P305" s="237"/>
      <c r="Q305" s="237"/>
    </row>
    <row r="306" spans="1:17" ht="25" customHeight="1">
      <c r="A306" s="313" t="s">
        <v>514</v>
      </c>
      <c r="B306" s="275" t="s">
        <v>551</v>
      </c>
      <c r="C306" s="272">
        <v>15</v>
      </c>
      <c r="D306" s="272">
        <v>1</v>
      </c>
      <c r="E306" s="272">
        <v>1</v>
      </c>
      <c r="F306" s="180">
        <f t="shared" si="42"/>
        <v>175</v>
      </c>
      <c r="G306" s="268">
        <v>5</v>
      </c>
      <c r="H306" s="268">
        <f t="shared" si="43"/>
        <v>75</v>
      </c>
      <c r="I306" s="177">
        <f>G306*35</f>
        <v>175</v>
      </c>
      <c r="J306" s="177"/>
      <c r="K306" s="232"/>
      <c r="L306" s="232"/>
      <c r="M306" s="237"/>
      <c r="N306" s="237"/>
      <c r="O306" s="237"/>
      <c r="P306" s="237"/>
      <c r="Q306" s="237"/>
    </row>
    <row r="307" spans="1:17" ht="25" customHeight="1">
      <c r="A307" s="313" t="s">
        <v>651</v>
      </c>
      <c r="B307" s="275" t="s">
        <v>652</v>
      </c>
      <c r="C307" s="272">
        <v>15</v>
      </c>
      <c r="D307" s="272">
        <v>1</v>
      </c>
      <c r="E307" s="272">
        <v>1</v>
      </c>
      <c r="F307" s="180">
        <f t="shared" si="42"/>
        <v>4515</v>
      </c>
      <c r="G307" s="268">
        <v>129</v>
      </c>
      <c r="H307" s="268">
        <f t="shared" si="43"/>
        <v>1935</v>
      </c>
      <c r="I307" s="255"/>
      <c r="J307" s="177"/>
      <c r="K307" s="177">
        <f>G307*35</f>
        <v>4515</v>
      </c>
      <c r="L307" s="232"/>
      <c r="M307" s="237"/>
      <c r="N307" s="237"/>
      <c r="O307" s="237"/>
      <c r="P307" s="237"/>
      <c r="Q307" s="237"/>
    </row>
    <row r="308" spans="1:17" ht="25" customHeight="1">
      <c r="A308" s="313" t="s">
        <v>653</v>
      </c>
      <c r="B308" s="275" t="s">
        <v>654</v>
      </c>
      <c r="C308" s="272">
        <v>15</v>
      </c>
      <c r="D308" s="272">
        <v>1</v>
      </c>
      <c r="E308" s="272">
        <v>1</v>
      </c>
      <c r="F308" s="172">
        <f t="shared" ref="F308:K308" si="44">SUM(F297:F307)</f>
        <v>6265</v>
      </c>
      <c r="G308" s="172">
        <f t="shared" si="44"/>
        <v>179</v>
      </c>
      <c r="H308" s="172">
        <f t="shared" si="44"/>
        <v>2685</v>
      </c>
      <c r="I308" s="172">
        <f t="shared" si="44"/>
        <v>1225</v>
      </c>
      <c r="J308" s="172">
        <f t="shared" si="44"/>
        <v>525</v>
      </c>
      <c r="K308" s="172">
        <f t="shared" si="44"/>
        <v>4515</v>
      </c>
      <c r="L308" s="232"/>
      <c r="M308" s="237"/>
      <c r="N308" s="237"/>
      <c r="O308" s="237"/>
      <c r="P308" s="237"/>
      <c r="Q308" s="237"/>
    </row>
    <row r="309" spans="1:17" ht="25" customHeight="1">
      <c r="A309" s="313" t="s">
        <v>655</v>
      </c>
      <c r="B309" s="275" t="s">
        <v>656</v>
      </c>
      <c r="C309" s="272">
        <v>15</v>
      </c>
      <c r="D309" s="272">
        <v>1</v>
      </c>
      <c r="E309" s="272">
        <v>1</v>
      </c>
      <c r="F309" s="268"/>
      <c r="G309" s="268"/>
      <c r="H309" s="268"/>
      <c r="I309" s="178"/>
      <c r="J309" s="178"/>
      <c r="K309" s="232"/>
      <c r="L309" s="232"/>
      <c r="M309" s="238"/>
      <c r="N309" s="238"/>
      <c r="O309" s="238"/>
      <c r="P309" s="238"/>
      <c r="Q309" s="238"/>
    </row>
    <row r="310" spans="1:17" ht="25" customHeight="1">
      <c r="A310" s="327"/>
      <c r="B310" s="328" t="s">
        <v>657</v>
      </c>
      <c r="C310" s="272">
        <v>15</v>
      </c>
      <c r="D310" s="272">
        <v>1</v>
      </c>
      <c r="E310" s="272">
        <v>1</v>
      </c>
      <c r="F310" s="268"/>
      <c r="G310" s="268"/>
      <c r="H310" s="268"/>
      <c r="I310" s="178"/>
      <c r="J310" s="178"/>
      <c r="K310" s="232"/>
      <c r="L310" s="232"/>
      <c r="M310" s="233"/>
      <c r="N310" s="233"/>
      <c r="O310" s="233"/>
      <c r="P310" s="233"/>
      <c r="Q310" s="233"/>
    </row>
    <row r="311" spans="1:17" ht="25" customHeight="1">
      <c r="A311" s="313"/>
      <c r="B311" s="314" t="s">
        <v>375</v>
      </c>
      <c r="C311" s="315">
        <f>SUM(C297:C310)</f>
        <v>210</v>
      </c>
      <c r="D311" s="315">
        <f>SUM(D297:D310)</f>
        <v>14</v>
      </c>
      <c r="E311" s="315">
        <f>SUM(E297:E310)</f>
        <v>14</v>
      </c>
      <c r="F311" s="180">
        <f>I311+J311+K311</f>
        <v>97020</v>
      </c>
      <c r="G311" s="268">
        <v>11</v>
      </c>
      <c r="H311" s="268">
        <f>C311*D311*E311*G311</f>
        <v>452760</v>
      </c>
      <c r="I311" s="177">
        <f>IF(G311&lt;70, C311*E311*16.5*1*2, C311*E311*16.5*1.3*2)</f>
        <v>97020</v>
      </c>
      <c r="J311" s="178"/>
      <c r="K311" s="232"/>
      <c r="L311" s="232"/>
      <c r="M311" s="233"/>
      <c r="N311" s="233"/>
      <c r="O311" s="233"/>
      <c r="P311" s="233"/>
      <c r="Q311" s="233"/>
    </row>
    <row r="312" spans="1:17" ht="25" customHeight="1">
      <c r="A312" s="316">
        <v>3</v>
      </c>
      <c r="B312" s="316" t="s">
        <v>164</v>
      </c>
      <c r="C312" s="272"/>
      <c r="D312" s="272"/>
      <c r="E312" s="272"/>
      <c r="F312" s="180">
        <f>I312+J312+K312</f>
        <v>0</v>
      </c>
      <c r="G312" s="268">
        <v>11</v>
      </c>
      <c r="H312" s="268">
        <f>C312*D312*E312*G312</f>
        <v>0</v>
      </c>
      <c r="I312" s="177">
        <f>IF(G312&lt;70, C312*E312*16.5*1*2, C312*E312*16.5*1.3*2)</f>
        <v>0</v>
      </c>
      <c r="J312" s="178"/>
      <c r="K312" s="232"/>
      <c r="L312" s="232"/>
      <c r="M312" s="233"/>
      <c r="N312" s="233"/>
      <c r="O312" s="233"/>
      <c r="P312" s="233"/>
      <c r="Q312" s="233"/>
    </row>
    <row r="313" spans="1:17" ht="25" customHeight="1">
      <c r="A313" s="317" t="s">
        <v>145</v>
      </c>
      <c r="B313" s="318" t="s">
        <v>165</v>
      </c>
      <c r="C313" s="272"/>
      <c r="D313" s="272"/>
      <c r="E313" s="272"/>
      <c r="F313" s="180">
        <f>I313+J313+K313</f>
        <v>0</v>
      </c>
      <c r="G313" s="268">
        <v>11</v>
      </c>
      <c r="H313" s="268">
        <f>C313*D313*E313*G313</f>
        <v>0</v>
      </c>
      <c r="I313" s="177">
        <f>IF(G313&lt;70, C313*E313*16.5*1*2, C313*E313*16.5*1.3*2)</f>
        <v>0</v>
      </c>
      <c r="J313" s="178"/>
      <c r="K313" s="232"/>
      <c r="L313" s="232"/>
      <c r="M313" s="233"/>
      <c r="N313" s="233"/>
      <c r="O313" s="233"/>
      <c r="P313" s="233"/>
      <c r="Q313" s="233"/>
    </row>
    <row r="314" spans="1:17" ht="25" customHeight="1">
      <c r="A314" s="269" t="s">
        <v>224</v>
      </c>
      <c r="B314" s="270" t="s">
        <v>470</v>
      </c>
      <c r="C314" s="272">
        <v>3</v>
      </c>
      <c r="D314" s="272">
        <v>1</v>
      </c>
      <c r="E314" s="272">
        <v>1</v>
      </c>
      <c r="F314" s="268"/>
      <c r="G314" s="268"/>
      <c r="H314" s="268"/>
      <c r="I314" s="178"/>
      <c r="J314" s="178"/>
      <c r="K314" s="232"/>
      <c r="L314" s="232"/>
      <c r="M314" s="233"/>
      <c r="N314" s="233"/>
      <c r="O314" s="233"/>
      <c r="P314" s="233"/>
      <c r="Q314" s="233"/>
    </row>
    <row r="315" spans="1:17" ht="25" customHeight="1">
      <c r="A315" s="269" t="s">
        <v>225</v>
      </c>
      <c r="B315" s="270" t="s">
        <v>471</v>
      </c>
      <c r="C315" s="272">
        <v>3</v>
      </c>
      <c r="D315" s="272">
        <v>1</v>
      </c>
      <c r="E315" s="272">
        <v>1</v>
      </c>
      <c r="F315" s="268"/>
      <c r="G315" s="268"/>
      <c r="H315" s="268"/>
      <c r="I315" s="178"/>
      <c r="J315" s="178"/>
      <c r="K315" s="232"/>
      <c r="L315" s="232"/>
      <c r="M315" s="233"/>
      <c r="N315" s="233"/>
      <c r="O315" s="233"/>
      <c r="P315" s="233"/>
      <c r="Q315" s="233"/>
    </row>
    <row r="316" spans="1:17" ht="25" customHeight="1">
      <c r="A316" s="313" t="s">
        <v>472</v>
      </c>
      <c r="B316" s="269" t="s">
        <v>473</v>
      </c>
      <c r="C316" s="272">
        <v>3</v>
      </c>
      <c r="D316" s="272">
        <v>1</v>
      </c>
      <c r="E316" s="272">
        <v>1</v>
      </c>
      <c r="F316" s="268"/>
      <c r="G316" s="268"/>
      <c r="H316" s="268"/>
      <c r="I316" s="178"/>
      <c r="J316" s="178"/>
      <c r="K316" s="232"/>
      <c r="L316" s="232"/>
      <c r="M316" s="233"/>
      <c r="N316" s="233"/>
      <c r="O316" s="233"/>
      <c r="P316" s="233"/>
      <c r="Q316" s="233"/>
    </row>
    <row r="317" spans="1:17" ht="25" customHeight="1">
      <c r="A317" s="311" t="s">
        <v>146</v>
      </c>
      <c r="B317" s="312" t="s">
        <v>166</v>
      </c>
      <c r="C317" s="272"/>
      <c r="D317" s="272"/>
      <c r="E317" s="272"/>
      <c r="F317" s="180">
        <f>I317+J317+K317</f>
        <v>600</v>
      </c>
      <c r="G317" s="268"/>
      <c r="H317" s="268"/>
      <c r="I317" s="178">
        <v>600</v>
      </c>
      <c r="J317" s="178"/>
      <c r="K317" s="232"/>
      <c r="L317" s="232"/>
      <c r="M317" s="233"/>
      <c r="N317" s="233"/>
      <c r="O317" s="233"/>
      <c r="P317" s="233"/>
      <c r="Q317" s="233"/>
    </row>
    <row r="318" spans="1:17" ht="25" customHeight="1">
      <c r="A318" s="311"/>
      <c r="B318" s="312" t="s">
        <v>658</v>
      </c>
      <c r="C318" s="272"/>
      <c r="D318" s="272"/>
      <c r="E318" s="272"/>
      <c r="F318" s="180">
        <f>I318+J318+K318</f>
        <v>300</v>
      </c>
      <c r="G318" s="268"/>
      <c r="H318" s="268"/>
      <c r="I318" s="178"/>
      <c r="J318" s="178">
        <v>300</v>
      </c>
      <c r="K318" s="232"/>
      <c r="L318" s="232"/>
      <c r="M318" s="233"/>
      <c r="N318" s="233"/>
      <c r="O318" s="233"/>
      <c r="P318" s="233"/>
      <c r="Q318" s="233"/>
    </row>
    <row r="319" spans="1:17" ht="25" customHeight="1">
      <c r="A319" s="311"/>
      <c r="B319" s="312" t="s">
        <v>659</v>
      </c>
      <c r="C319" s="272"/>
      <c r="D319" s="272"/>
      <c r="E319" s="272"/>
      <c r="F319" s="268"/>
      <c r="G319" s="268"/>
      <c r="H319" s="268"/>
      <c r="I319" s="178"/>
      <c r="J319" s="178"/>
      <c r="K319" s="232"/>
      <c r="L319" s="232"/>
      <c r="M319" s="233"/>
      <c r="N319" s="233"/>
      <c r="O319" s="233"/>
      <c r="P319" s="233"/>
      <c r="Q319" s="233"/>
    </row>
    <row r="320" spans="1:17" ht="25" customHeight="1">
      <c r="A320" s="311"/>
      <c r="B320" s="312" t="s">
        <v>474</v>
      </c>
      <c r="C320" s="272"/>
      <c r="D320" s="272"/>
      <c r="E320" s="272"/>
      <c r="F320" s="268"/>
      <c r="G320" s="268"/>
      <c r="H320" s="268"/>
      <c r="I320" s="178"/>
      <c r="J320" s="178"/>
      <c r="K320" s="232"/>
      <c r="L320" s="232"/>
      <c r="M320" s="233"/>
      <c r="N320" s="233"/>
      <c r="O320" s="233"/>
      <c r="P320" s="233"/>
      <c r="Q320" s="233"/>
    </row>
    <row r="321" spans="1:17" ht="25" customHeight="1">
      <c r="A321" s="313"/>
      <c r="B321" s="269" t="s">
        <v>475</v>
      </c>
      <c r="C321" s="272"/>
      <c r="D321" s="272"/>
      <c r="E321" s="272"/>
      <c r="F321" s="180">
        <f>I321+J321+K321</f>
        <v>1120</v>
      </c>
      <c r="G321" s="268"/>
      <c r="H321" s="268"/>
      <c r="I321" s="178">
        <v>1120</v>
      </c>
      <c r="J321" s="178"/>
      <c r="K321" s="232"/>
      <c r="L321" s="232"/>
      <c r="M321" s="233"/>
      <c r="N321" s="233"/>
      <c r="O321" s="233"/>
      <c r="P321" s="233"/>
      <c r="Q321" s="233"/>
    </row>
    <row r="322" spans="1:17" ht="25" customHeight="1">
      <c r="A322" s="311" t="s">
        <v>167</v>
      </c>
      <c r="B322" s="312" t="s">
        <v>168</v>
      </c>
      <c r="C322" s="272"/>
      <c r="D322" s="272"/>
      <c r="E322" s="272"/>
      <c r="F322" s="180">
        <f>I322+J322+K322</f>
        <v>680</v>
      </c>
      <c r="G322" s="268"/>
      <c r="H322" s="268"/>
      <c r="I322" s="178"/>
      <c r="J322" s="178">
        <v>680</v>
      </c>
      <c r="K322" s="232"/>
      <c r="L322" s="232"/>
      <c r="M322" s="233"/>
      <c r="N322" s="233"/>
      <c r="O322" s="233"/>
      <c r="P322" s="233"/>
      <c r="Q322" s="233"/>
    </row>
    <row r="323" spans="1:17" ht="25" customHeight="1">
      <c r="A323" s="313"/>
      <c r="B323" s="269" t="s">
        <v>660</v>
      </c>
      <c r="C323" s="272"/>
      <c r="D323" s="272"/>
      <c r="E323" s="272"/>
      <c r="F323" s="268">
        <f>SUM(F311:F322)</f>
        <v>99720</v>
      </c>
      <c r="G323" s="172">
        <f>SUM(G311:G322)</f>
        <v>33</v>
      </c>
      <c r="H323" s="172">
        <f>SUM(H311:H322)</f>
        <v>452760</v>
      </c>
      <c r="I323" s="172">
        <f>SUM(I311:I322)</f>
        <v>98740</v>
      </c>
      <c r="J323" s="172">
        <f>SUM(J311:J322)</f>
        <v>980</v>
      </c>
      <c r="K323" s="232"/>
      <c r="L323" s="232"/>
      <c r="M323" s="233"/>
      <c r="N323" s="233"/>
      <c r="O323" s="233"/>
      <c r="P323" s="233"/>
      <c r="Q323" s="233"/>
    </row>
    <row r="324" spans="1:17" ht="25" customHeight="1">
      <c r="A324" s="313"/>
      <c r="B324" s="269" t="s">
        <v>476</v>
      </c>
      <c r="C324" s="272"/>
      <c r="D324" s="272"/>
      <c r="E324" s="272"/>
      <c r="F324" s="268"/>
      <c r="G324" s="268"/>
      <c r="H324" s="268"/>
      <c r="I324" s="178"/>
      <c r="J324" s="178"/>
      <c r="K324" s="232"/>
      <c r="L324" s="232"/>
      <c r="M324" s="233"/>
      <c r="N324" s="233"/>
      <c r="O324" s="233"/>
      <c r="P324" s="233"/>
      <c r="Q324" s="233"/>
    </row>
    <row r="325" spans="1:17" ht="25" customHeight="1">
      <c r="A325" s="313"/>
      <c r="B325" s="269" t="s">
        <v>475</v>
      </c>
      <c r="C325" s="272"/>
      <c r="D325" s="272"/>
      <c r="E325" s="272"/>
      <c r="F325" s="268"/>
      <c r="G325" s="268"/>
      <c r="H325" s="268"/>
      <c r="I325" s="178"/>
      <c r="J325" s="178"/>
      <c r="K325" s="232"/>
      <c r="L325" s="232"/>
      <c r="M325" s="233"/>
      <c r="N325" s="233"/>
      <c r="O325" s="233"/>
      <c r="P325" s="233"/>
      <c r="Q325" s="233"/>
    </row>
    <row r="326" spans="1:17" ht="25" customHeight="1">
      <c r="A326" s="313"/>
      <c r="B326" s="314" t="s">
        <v>375</v>
      </c>
      <c r="C326" s="315">
        <f>SUM(C314:C325)</f>
        <v>9</v>
      </c>
      <c r="D326" s="315">
        <f>SUM(D314:D325)</f>
        <v>3</v>
      </c>
      <c r="E326" s="315">
        <f>SUM(E314:E325)</f>
        <v>3</v>
      </c>
      <c r="F326" s="268"/>
      <c r="G326" s="268"/>
      <c r="H326" s="268"/>
      <c r="I326" s="178"/>
      <c r="J326" s="178"/>
      <c r="K326" s="232"/>
      <c r="L326" s="232"/>
      <c r="M326" s="233"/>
      <c r="N326" s="233"/>
      <c r="O326" s="233"/>
      <c r="P326" s="233"/>
      <c r="Q326" s="233"/>
    </row>
    <row r="327" spans="1:17" ht="25" customHeight="1">
      <c r="A327" s="277" t="s">
        <v>495</v>
      </c>
      <c r="B327" s="277" t="s">
        <v>496</v>
      </c>
      <c r="C327" s="272"/>
      <c r="D327" s="272"/>
      <c r="E327" s="272"/>
      <c r="F327" s="180">
        <f>I327+J327+K327</f>
        <v>0</v>
      </c>
      <c r="G327" s="186">
        <v>40</v>
      </c>
      <c r="H327" s="268">
        <f>C327*D327*E327*G327</f>
        <v>0</v>
      </c>
      <c r="I327" s="177">
        <f>IF(G327&lt;70, C327*E327*16.5*1, C327*E327*16.5*1.3)</f>
        <v>0</v>
      </c>
      <c r="J327" s="178"/>
      <c r="K327" s="232"/>
      <c r="L327" s="232"/>
      <c r="M327" s="233"/>
      <c r="N327" s="233"/>
      <c r="O327" s="233"/>
      <c r="P327" s="233"/>
      <c r="Q327" s="233"/>
    </row>
    <row r="328" spans="1:17" ht="25" customHeight="1">
      <c r="A328" s="277">
        <v>1</v>
      </c>
      <c r="B328" s="279" t="s">
        <v>223</v>
      </c>
      <c r="C328" s="272"/>
      <c r="D328" s="272"/>
      <c r="E328" s="272"/>
      <c r="F328" s="180">
        <f>I328+J328+K328</f>
        <v>0</v>
      </c>
      <c r="G328" s="186">
        <v>40</v>
      </c>
      <c r="H328" s="268">
        <f>C328*D328*E328*G328</f>
        <v>0</v>
      </c>
      <c r="I328" s="177">
        <f>IF(G328&lt;70, C328*E328*16.5*1, C328*E328*16.5*1.3)</f>
        <v>0</v>
      </c>
      <c r="J328" s="178"/>
      <c r="K328" s="232"/>
      <c r="L328" s="232"/>
      <c r="M328" s="233"/>
      <c r="N328" s="233"/>
      <c r="O328" s="233"/>
      <c r="P328" s="233"/>
      <c r="Q328" s="233"/>
    </row>
    <row r="329" spans="1:17" ht="25" customHeight="1">
      <c r="A329" s="277" t="s">
        <v>376</v>
      </c>
      <c r="B329" s="279" t="s">
        <v>161</v>
      </c>
      <c r="C329" s="272"/>
      <c r="D329" s="272"/>
      <c r="E329" s="272"/>
      <c r="F329" s="268">
        <f>SUM(F327:F328)</f>
        <v>0</v>
      </c>
      <c r="G329" s="172">
        <f>SUM(G327:G328)</f>
        <v>80</v>
      </c>
      <c r="H329" s="172">
        <f>SUM(H327:H328)</f>
        <v>0</v>
      </c>
      <c r="I329" s="172">
        <f>SUM(I327:I328)</f>
        <v>0</v>
      </c>
      <c r="J329" s="172">
        <f>SUM(J327:J328)</f>
        <v>0</v>
      </c>
      <c r="K329" s="232"/>
      <c r="L329" s="232"/>
      <c r="M329" s="233"/>
      <c r="N329" s="233"/>
      <c r="O329" s="233"/>
      <c r="P329" s="233"/>
      <c r="Q329" s="233"/>
    </row>
    <row r="330" spans="1:17" s="339" customFormat="1" ht="25" customHeight="1">
      <c r="A330" s="333" t="s">
        <v>224</v>
      </c>
      <c r="B330" s="331" t="s">
        <v>661</v>
      </c>
      <c r="C330" s="334">
        <v>2</v>
      </c>
      <c r="D330" s="334">
        <v>1</v>
      </c>
      <c r="E330" s="334">
        <v>5</v>
      </c>
      <c r="F330" s="348">
        <f t="shared" ref="F330:K330" si="45">F273+F295+F308+F329+F323</f>
        <v>110522.5</v>
      </c>
      <c r="G330" s="349">
        <f t="shared" si="45"/>
        <v>2041</v>
      </c>
      <c r="H330" s="349">
        <f t="shared" si="45"/>
        <v>463159</v>
      </c>
      <c r="I330" s="349">
        <f t="shared" si="45"/>
        <v>103388.75</v>
      </c>
      <c r="J330" s="349">
        <f t="shared" si="45"/>
        <v>2618.75</v>
      </c>
      <c r="K330" s="349">
        <f t="shared" si="45"/>
        <v>4515</v>
      </c>
      <c r="L330" s="350">
        <f>'Bieu3 QLGD'!F25</f>
        <v>1890</v>
      </c>
      <c r="M330" s="351">
        <f>'Bieu3 QLGD'!N25</f>
        <v>1606.5</v>
      </c>
      <c r="N330" s="351">
        <f>I330-M330</f>
        <v>101782.25</v>
      </c>
      <c r="O330" s="351">
        <f>'Bieu3 QLGD'!O25</f>
        <v>1311.75</v>
      </c>
      <c r="P330" s="351">
        <f>'Bieu3 QLGD'!P25</f>
        <v>680</v>
      </c>
      <c r="Q330" s="351"/>
    </row>
    <row r="331" spans="1:17" s="339" customFormat="1" ht="25" customHeight="1">
      <c r="A331" s="333" t="s">
        <v>224</v>
      </c>
      <c r="B331" s="331" t="s">
        <v>662</v>
      </c>
      <c r="C331" s="334">
        <v>2</v>
      </c>
      <c r="D331" s="334">
        <v>1</v>
      </c>
      <c r="E331" s="334">
        <v>4</v>
      </c>
      <c r="F331" s="352"/>
      <c r="G331" s="353"/>
      <c r="H331" s="353"/>
      <c r="I331" s="353"/>
      <c r="J331" s="353"/>
      <c r="K331" s="353"/>
      <c r="L331" s="354"/>
      <c r="M331" s="338"/>
      <c r="N331" s="338"/>
      <c r="O331" s="338"/>
      <c r="P331" s="338"/>
      <c r="Q331" s="338"/>
    </row>
    <row r="332" spans="1:17" s="339" customFormat="1" ht="25" customHeight="1">
      <c r="A332" s="333" t="s">
        <v>225</v>
      </c>
      <c r="B332" s="331" t="s">
        <v>663</v>
      </c>
      <c r="C332" s="334">
        <v>2</v>
      </c>
      <c r="D332" s="334">
        <v>1</v>
      </c>
      <c r="E332" s="334">
        <v>4</v>
      </c>
      <c r="F332" s="335"/>
      <c r="G332" s="335"/>
      <c r="H332" s="335"/>
      <c r="I332" s="335"/>
      <c r="J332" s="335"/>
      <c r="K332" s="336"/>
      <c r="L332" s="337"/>
      <c r="M332" s="337"/>
      <c r="N332" s="337"/>
      <c r="O332" s="337"/>
      <c r="P332" s="337"/>
      <c r="Q332" s="338"/>
    </row>
    <row r="333" spans="1:17" s="339" customFormat="1" ht="25" customHeight="1">
      <c r="A333" s="333"/>
      <c r="B333" s="340" t="s">
        <v>375</v>
      </c>
      <c r="C333" s="341">
        <f>SUM(C331:C332)</f>
        <v>4</v>
      </c>
      <c r="D333" s="341">
        <f>SUM(D331:D332)</f>
        <v>2</v>
      </c>
      <c r="E333" s="341">
        <f>SUM(E331:E332)</f>
        <v>8</v>
      </c>
      <c r="F333" s="342"/>
      <c r="G333" s="342"/>
      <c r="H333" s="342"/>
      <c r="I333" s="342"/>
      <c r="J333" s="342"/>
      <c r="K333" s="343"/>
      <c r="L333" s="344"/>
      <c r="M333" s="344"/>
      <c r="N333" s="344"/>
      <c r="O333" s="344"/>
      <c r="P333" s="344"/>
      <c r="Q333" s="338"/>
    </row>
    <row r="334" spans="1:17" s="339" customFormat="1" ht="25" customHeight="1">
      <c r="A334" s="333"/>
      <c r="B334" s="340" t="s">
        <v>477</v>
      </c>
      <c r="C334" s="341">
        <f>C273+C295+C311+C333+C326</f>
        <v>330</v>
      </c>
      <c r="D334" s="341">
        <f>D273+D295+D311+D333+D326</f>
        <v>58.6</v>
      </c>
      <c r="E334" s="341">
        <f>E273+E295+E311+E333+E326</f>
        <v>97</v>
      </c>
      <c r="F334" s="342"/>
      <c r="G334" s="342"/>
      <c r="H334" s="342"/>
      <c r="I334" s="342"/>
      <c r="J334" s="342"/>
      <c r="K334" s="343"/>
      <c r="L334" s="344"/>
      <c r="M334" s="344"/>
      <c r="N334" s="344"/>
      <c r="O334" s="344"/>
      <c r="P334" s="344"/>
      <c r="Q334" s="338"/>
    </row>
    <row r="335" spans="1:17" s="339" customFormat="1" ht="25" customHeight="1">
      <c r="A335" s="345"/>
      <c r="B335" s="346"/>
      <c r="C335" s="342"/>
      <c r="D335" s="342"/>
      <c r="E335" s="347"/>
      <c r="F335" s="342"/>
      <c r="G335" s="342"/>
      <c r="H335" s="342"/>
      <c r="I335" s="342"/>
      <c r="J335" s="342"/>
      <c r="K335" s="343"/>
      <c r="L335" s="344"/>
      <c r="M335" s="344"/>
      <c r="N335" s="344"/>
      <c r="O335" s="344"/>
      <c r="P335" s="344"/>
      <c r="Q335" s="338"/>
    </row>
    <row r="336" spans="1:17" ht="25" customHeight="1">
      <c r="A336" s="168" t="s">
        <v>6</v>
      </c>
      <c r="B336" s="168" t="s">
        <v>160</v>
      </c>
      <c r="C336" s="172">
        <f t="shared" ref="C336:K336" si="46">C48+C185+C211+C273+C126</f>
        <v>76</v>
      </c>
      <c r="D336" s="172">
        <f t="shared" si="46"/>
        <v>29.6</v>
      </c>
      <c r="E336" s="172">
        <f t="shared" si="46"/>
        <v>38</v>
      </c>
      <c r="F336" s="172">
        <f t="shared" si="46"/>
        <v>45451.149999999994</v>
      </c>
      <c r="G336" s="172">
        <f t="shared" si="46"/>
        <v>5620</v>
      </c>
      <c r="H336" s="172">
        <f t="shared" si="46"/>
        <v>1371917.36</v>
      </c>
      <c r="I336" s="172">
        <f t="shared" si="46"/>
        <v>45253.149999999994</v>
      </c>
      <c r="J336" s="172">
        <f t="shared" si="46"/>
        <v>198</v>
      </c>
      <c r="K336" s="172">
        <f t="shared" si="46"/>
        <v>0</v>
      </c>
      <c r="L336" s="239" t="e">
        <f>L330+L240+#REF!+L165+L85</f>
        <v>#REF!</v>
      </c>
      <c r="M336" s="239" t="e">
        <f>M330+M240+#REF!+M165+M85</f>
        <v>#REF!</v>
      </c>
      <c r="N336" s="239" t="e">
        <f>N330+N240+#REF!+N165+N85</f>
        <v>#REF!</v>
      </c>
      <c r="O336" s="239" t="e">
        <f>O330+O240+#REF!+O165+O85</f>
        <v>#REF!</v>
      </c>
      <c r="P336" s="239" t="e">
        <f>P330+P240+#REF!+P165+P85</f>
        <v>#REF!</v>
      </c>
      <c r="Q336" s="179"/>
    </row>
    <row r="337" spans="1:17" ht="25" customHeight="1">
      <c r="A337" s="183" t="s">
        <v>7</v>
      </c>
      <c r="B337" s="168" t="s">
        <v>170</v>
      </c>
      <c r="C337" s="172">
        <f t="shared" ref="C337:K337" si="47">C308+C295+C223+C195+C63+C146</f>
        <v>63</v>
      </c>
      <c r="D337" s="172">
        <f t="shared" si="47"/>
        <v>17</v>
      </c>
      <c r="E337" s="172">
        <f t="shared" si="47"/>
        <v>62</v>
      </c>
      <c r="F337" s="172">
        <f t="shared" si="47"/>
        <v>58648.25</v>
      </c>
      <c r="G337" s="172">
        <f t="shared" si="47"/>
        <v>928</v>
      </c>
      <c r="H337" s="172">
        <f t="shared" si="47"/>
        <v>217128</v>
      </c>
      <c r="I337" s="172">
        <f t="shared" si="47"/>
        <v>52494.5</v>
      </c>
      <c r="J337" s="172">
        <f t="shared" si="47"/>
        <v>1638.75</v>
      </c>
      <c r="K337" s="172">
        <f t="shared" si="47"/>
        <v>4515</v>
      </c>
      <c r="L337" s="172">
        <f>L308+L295+L223+L195+L146</f>
        <v>0</v>
      </c>
      <c r="M337" s="172">
        <f>M308+M295+M223+M195+M146</f>
        <v>0</v>
      </c>
      <c r="N337" s="172">
        <f>N308+N295+N223+N195+N146</f>
        <v>0</v>
      </c>
      <c r="O337" s="172">
        <f>O308+O295+O223+O195+O146</f>
        <v>0</v>
      </c>
      <c r="P337" s="172">
        <f>P308+P295+P223+P195+P146</f>
        <v>0</v>
      </c>
      <c r="Q337" s="179"/>
    </row>
    <row r="338" spans="1:17" ht="25" customHeight="1">
      <c r="A338" s="183" t="s">
        <v>24</v>
      </c>
      <c r="B338" s="171" t="s">
        <v>164</v>
      </c>
      <c r="C338" s="172">
        <f t="shared" ref="C338:J338" si="48">C323+C229</f>
        <v>0</v>
      </c>
      <c r="D338" s="172">
        <f t="shared" si="48"/>
        <v>0</v>
      </c>
      <c r="E338" s="172">
        <f t="shared" si="48"/>
        <v>0</v>
      </c>
      <c r="F338" s="172">
        <f t="shared" si="48"/>
        <v>99720</v>
      </c>
      <c r="G338" s="172">
        <f t="shared" si="48"/>
        <v>33</v>
      </c>
      <c r="H338" s="172">
        <f t="shared" si="48"/>
        <v>452760</v>
      </c>
      <c r="I338" s="172">
        <f t="shared" si="48"/>
        <v>98740</v>
      </c>
      <c r="J338" s="172">
        <f t="shared" si="48"/>
        <v>980</v>
      </c>
      <c r="K338" s="172">
        <f t="shared" ref="K338:P338" si="49">K329+K229</f>
        <v>0</v>
      </c>
      <c r="L338" s="172">
        <f t="shared" si="49"/>
        <v>0</v>
      </c>
      <c r="M338" s="172">
        <f t="shared" si="49"/>
        <v>0</v>
      </c>
      <c r="N338" s="172">
        <f t="shared" si="49"/>
        <v>0</v>
      </c>
      <c r="O338" s="172">
        <f t="shared" si="49"/>
        <v>0</v>
      </c>
      <c r="P338" s="172">
        <f t="shared" si="49"/>
        <v>0</v>
      </c>
      <c r="Q338" s="179"/>
    </row>
    <row r="339" spans="1:17" ht="25" customHeight="1">
      <c r="A339" s="183"/>
      <c r="B339" s="171" t="s">
        <v>530</v>
      </c>
      <c r="C339" s="172" t="e">
        <f>C329+C239+#REF!+C164+C83</f>
        <v>#REF!</v>
      </c>
      <c r="D339" s="172" t="e">
        <f>D329+D239+#REF!+D164+D83</f>
        <v>#REF!</v>
      </c>
      <c r="E339" s="172" t="e">
        <f>E329+E239+#REF!+E164+E83</f>
        <v>#REF!</v>
      </c>
      <c r="F339" s="172" t="e">
        <f>F329+F239+#REF!+F164+F83</f>
        <v>#REF!</v>
      </c>
      <c r="G339" s="172" t="e">
        <f>G329+G239+#REF!+G164+G83</f>
        <v>#REF!</v>
      </c>
      <c r="H339" s="172" t="e">
        <f>H329+H239+#REF!+H164+H83</f>
        <v>#REF!</v>
      </c>
      <c r="I339" s="172" t="e">
        <f>I329+I239+#REF!+I164+I83</f>
        <v>#REF!</v>
      </c>
      <c r="J339" s="172" t="e">
        <f>J329+J239+#REF!+J164+J83</f>
        <v>#REF!</v>
      </c>
      <c r="K339" s="172" t="e">
        <f>K329+K239+#REF!+K164+K83</f>
        <v>#REF!</v>
      </c>
      <c r="L339" s="172" t="e">
        <f>L329+L239+#REF!+L164+L83</f>
        <v>#REF!</v>
      </c>
      <c r="M339" s="172" t="e">
        <f>M329+M239+#REF!+M164+M83</f>
        <v>#REF!</v>
      </c>
      <c r="N339" s="172" t="e">
        <f>N329+N239+#REF!+N164+N83</f>
        <v>#REF!</v>
      </c>
      <c r="O339" s="172" t="e">
        <f>O329+O239+#REF!+O164+O83</f>
        <v>#REF!</v>
      </c>
      <c r="P339" s="172" t="e">
        <f>P329+P239+#REF!+P164+P83</f>
        <v>#REF!</v>
      </c>
      <c r="Q339" s="179"/>
    </row>
    <row r="340" spans="1:17" ht="25" customHeight="1">
      <c r="A340" s="183"/>
      <c r="B340" s="171" t="s">
        <v>531</v>
      </c>
      <c r="C340" s="172"/>
      <c r="D340" s="172"/>
      <c r="E340" s="172"/>
      <c r="F340" s="172"/>
      <c r="G340" s="172"/>
      <c r="H340" s="172"/>
      <c r="I340" s="172"/>
      <c r="J340" s="172"/>
      <c r="K340" s="240"/>
      <c r="L340" s="240"/>
      <c r="M340" s="240"/>
      <c r="N340" s="240"/>
      <c r="O340" s="240"/>
      <c r="P340" s="240"/>
      <c r="Q340" s="179"/>
    </row>
    <row r="341" spans="1:17" ht="25" customHeight="1">
      <c r="A341" s="164"/>
      <c r="B341" s="191" t="s">
        <v>479</v>
      </c>
      <c r="C341" s="187" t="e">
        <f>C330+C240+#REF!+C165+C85</f>
        <v>#REF!</v>
      </c>
      <c r="D341" s="187" t="e">
        <f>D330+D240+#REF!+D165+D85</f>
        <v>#REF!</v>
      </c>
      <c r="E341" s="187" t="e">
        <f>E330+E240+#REF!+E165+E85</f>
        <v>#REF!</v>
      </c>
      <c r="F341" s="187" t="e">
        <f>F330+F240+#REF!+F165+F85</f>
        <v>#REF!</v>
      </c>
      <c r="G341" s="187" t="e">
        <f>G330+G240+#REF!+G165+G85</f>
        <v>#REF!</v>
      </c>
      <c r="H341" s="187" t="e">
        <f>H330+H240+#REF!+H165+H85</f>
        <v>#REF!</v>
      </c>
      <c r="I341" s="187" t="e">
        <f>I330+I240+#REF!+I165+I85</f>
        <v>#REF!</v>
      </c>
      <c r="J341" s="187" t="e">
        <f>J330+J240+#REF!+J165+J85</f>
        <v>#REF!</v>
      </c>
      <c r="K341" s="187" t="e">
        <f>K330+K240+#REF!+K165+K85</f>
        <v>#REF!</v>
      </c>
      <c r="L341" s="241" t="e">
        <f>L330+L240+#REF!+L165+L85</f>
        <v>#REF!</v>
      </c>
      <c r="M341" s="242" t="e">
        <f>M330+M240+#REF!+M165+M85</f>
        <v>#REF!</v>
      </c>
      <c r="N341" s="242" t="e">
        <f>N330+N240+#REF!+N165+N85</f>
        <v>#REF!</v>
      </c>
      <c r="O341" s="241" t="e">
        <f>O330+O240+#REF!+O165+O85</f>
        <v>#REF!</v>
      </c>
      <c r="P341" s="241" t="e">
        <f>P330+P240+#REF!+P165+P85</f>
        <v>#REF!</v>
      </c>
      <c r="Q341" s="179"/>
    </row>
    <row r="342" spans="1:17">
      <c r="C342" s="131"/>
      <c r="D342" s="1868" t="s">
        <v>555</v>
      </c>
      <c r="E342" s="1868"/>
      <c r="F342" s="1868"/>
      <c r="G342" s="1868"/>
      <c r="H342" s="1868"/>
      <c r="I342" s="1868"/>
      <c r="J342" s="265" t="e">
        <f>J341+K341</f>
        <v>#REF!</v>
      </c>
      <c r="K342" s="45"/>
      <c r="L342" s="45"/>
      <c r="M342" s="45"/>
      <c r="N342" s="1869" t="s">
        <v>573</v>
      </c>
      <c r="O342" s="1869"/>
      <c r="P342" s="1869"/>
      <c r="Q342" s="1869"/>
    </row>
    <row r="343" spans="1:17" ht="12.75" customHeight="1">
      <c r="A343" s="266"/>
      <c r="B343" s="266"/>
      <c r="C343" s="131"/>
      <c r="D343" s="131"/>
      <c r="E343" s="131"/>
      <c r="F343" s="131"/>
      <c r="G343" s="131"/>
      <c r="H343" s="131"/>
      <c r="I343" s="131"/>
      <c r="J343" s="131"/>
      <c r="K343" s="45"/>
      <c r="L343" s="45"/>
      <c r="M343" s="45"/>
      <c r="N343" s="1848" t="s">
        <v>536</v>
      </c>
      <c r="O343" s="1848"/>
      <c r="P343" s="1848"/>
      <c r="Q343" s="1848"/>
    </row>
    <row r="344" spans="1:17">
      <c r="A344" s="266"/>
      <c r="B344" s="1870" t="s">
        <v>148</v>
      </c>
      <c r="C344" s="1870"/>
      <c r="D344" s="1870"/>
      <c r="E344" s="1870"/>
      <c r="F344" s="1870"/>
      <c r="G344" s="1870"/>
      <c r="H344" s="1870"/>
      <c r="I344" s="1870"/>
      <c r="J344" s="1870"/>
      <c r="K344" s="1870"/>
      <c r="L344" s="45"/>
      <c r="M344" s="45"/>
      <c r="N344" s="45"/>
      <c r="O344" s="45"/>
      <c r="P344" s="45"/>
      <c r="Q344" s="267"/>
    </row>
    <row r="345" spans="1:17" ht="26.25" customHeight="1">
      <c r="A345" s="266"/>
      <c r="B345" s="1871" t="s">
        <v>235</v>
      </c>
      <c r="C345" s="1871"/>
      <c r="D345" s="1871"/>
      <c r="E345" s="1871"/>
      <c r="F345" s="1871"/>
      <c r="G345" s="1871"/>
      <c r="H345" s="1871"/>
      <c r="I345" s="1871"/>
      <c r="J345" s="1871"/>
      <c r="K345" s="1871"/>
      <c r="L345" s="45"/>
      <c r="M345" s="45"/>
      <c r="N345" s="45"/>
      <c r="O345" s="45"/>
      <c r="P345" s="45"/>
      <c r="Q345" s="267"/>
    </row>
    <row r="346" spans="1:17" ht="30" customHeight="1">
      <c r="A346" s="266"/>
      <c r="B346" s="1866" t="s">
        <v>72</v>
      </c>
      <c r="C346" s="1866"/>
      <c r="D346" s="1866"/>
      <c r="E346" s="1866"/>
      <c r="F346" s="1866"/>
      <c r="G346" s="1866"/>
      <c r="H346" s="1866"/>
      <c r="I346" s="1866"/>
      <c r="J346" s="1866"/>
      <c r="K346" s="1866"/>
      <c r="L346" s="45"/>
      <c r="M346" s="45"/>
      <c r="N346" s="1842" t="s">
        <v>537</v>
      </c>
      <c r="O346" s="1842"/>
      <c r="P346" s="1842"/>
      <c r="Q346" s="1842"/>
    </row>
  </sheetData>
  <mergeCells count="30">
    <mergeCell ref="A5:A6"/>
    <mergeCell ref="B5:B6"/>
    <mergeCell ref="C5:C6"/>
    <mergeCell ref="D5:D6"/>
    <mergeCell ref="E5:E6"/>
    <mergeCell ref="A1:C1"/>
    <mergeCell ref="I1:N1"/>
    <mergeCell ref="A2:C2"/>
    <mergeCell ref="I2:N2"/>
    <mergeCell ref="A3:Q3"/>
    <mergeCell ref="Q128:Q134"/>
    <mergeCell ref="F5:F6"/>
    <mergeCell ref="G5:G6"/>
    <mergeCell ref="H5:H6"/>
    <mergeCell ref="I5:K5"/>
    <mergeCell ref="L5:L6"/>
    <mergeCell ref="M5:M6"/>
    <mergeCell ref="N5:N6"/>
    <mergeCell ref="O5:O6"/>
    <mergeCell ref="P5:P6"/>
    <mergeCell ref="Q5:Q6"/>
    <mergeCell ref="Q50:Q52"/>
    <mergeCell ref="B346:K346"/>
    <mergeCell ref="N346:Q346"/>
    <mergeCell ref="M300:Q300"/>
    <mergeCell ref="D342:I342"/>
    <mergeCell ref="N342:Q342"/>
    <mergeCell ref="N343:Q343"/>
    <mergeCell ref="B344:K344"/>
    <mergeCell ref="B345:K345"/>
  </mergeCells>
  <pageMargins left="0.2" right="0.2" top="0.5" bottom="0.42" header="0.62" footer="0.6"/>
  <pageSetup paperSize="9" scale="8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46"/>
  <sheetViews>
    <sheetView zoomScale="125" zoomScaleNormal="125" zoomScalePageLayoutView="125" workbookViewId="0">
      <pane xSplit="2" ySplit="6" topLeftCell="C67" activePane="bottomRight" state="frozen"/>
      <selection pane="topRight" activeCell="C1" sqref="C1"/>
      <selection pane="bottomLeft" activeCell="A7" sqref="A7"/>
      <selection pane="bottomRight" activeCell="C71" sqref="C71"/>
    </sheetView>
  </sheetViews>
  <sheetFormatPr baseColWidth="10" defaultColWidth="9.1640625" defaultRowHeight="13"/>
  <cols>
    <col min="1" max="1" width="5.5" style="256" customWidth="1"/>
    <col min="2" max="2" width="41.1640625" style="256" customWidth="1"/>
    <col min="3" max="3" width="7" style="248" customWidth="1"/>
    <col min="4" max="4" width="7" style="248" hidden="1" customWidth="1"/>
    <col min="5" max="5" width="6" style="248" customWidth="1"/>
    <col min="6" max="6" width="7.5" style="132" customWidth="1"/>
    <col min="7" max="7" width="6.83203125" style="248" customWidth="1"/>
    <col min="8" max="8" width="11.1640625" style="248" customWidth="1"/>
    <col min="9" max="10" width="8.33203125" style="248" customWidth="1"/>
    <col min="11" max="11" width="6.5" style="257" customWidth="1"/>
    <col min="12" max="12" width="7.6640625" style="257" customWidth="1"/>
    <col min="13" max="13" width="9.5" style="257" customWidth="1"/>
    <col min="14" max="14" width="11" style="257" customWidth="1"/>
    <col min="15" max="15" width="6.6640625" style="257" customWidth="1"/>
    <col min="16" max="16" width="9.6640625" style="257" customWidth="1"/>
    <col min="17" max="17" width="12.6640625" style="147" customWidth="1"/>
    <col min="18" max="16384" width="9.1640625" style="147"/>
  </cols>
  <sheetData>
    <row r="1" spans="1:17" ht="14.25" customHeight="1">
      <c r="A1" s="1861" t="s">
        <v>3</v>
      </c>
      <c r="B1" s="1861"/>
      <c r="C1" s="1861"/>
      <c r="D1" s="51"/>
      <c r="E1" s="51"/>
      <c r="F1" s="51"/>
      <c r="G1" s="51"/>
      <c r="H1" s="131"/>
      <c r="I1" s="1842"/>
      <c r="J1" s="1842"/>
      <c r="K1" s="1842"/>
      <c r="L1" s="1842"/>
      <c r="M1" s="1842"/>
      <c r="N1" s="1842"/>
      <c r="O1" s="46"/>
      <c r="P1" s="46"/>
      <c r="Q1" s="249" t="s">
        <v>29</v>
      </c>
    </row>
    <row r="2" spans="1:17">
      <c r="A2" s="1862" t="s">
        <v>521</v>
      </c>
      <c r="B2" s="1862"/>
      <c r="C2" s="1862"/>
      <c r="D2" s="167"/>
      <c r="E2" s="167"/>
      <c r="F2" s="51"/>
      <c r="G2" s="167"/>
      <c r="H2" s="131"/>
      <c r="I2" s="1842"/>
      <c r="J2" s="1842"/>
      <c r="K2" s="1842"/>
      <c r="L2" s="1842"/>
      <c r="M2" s="1842"/>
      <c r="N2" s="1842"/>
      <c r="O2" s="46"/>
      <c r="P2" s="46"/>
      <c r="Q2" s="46"/>
    </row>
    <row r="3" spans="1:17" ht="30" customHeight="1">
      <c r="A3" s="1878" t="s">
        <v>574</v>
      </c>
      <c r="B3" s="1878"/>
      <c r="C3" s="1878"/>
      <c r="D3" s="1878"/>
      <c r="E3" s="1878"/>
      <c r="F3" s="1878"/>
      <c r="G3" s="1878"/>
      <c r="H3" s="1878"/>
      <c r="I3" s="1878"/>
      <c r="J3" s="1878"/>
      <c r="K3" s="1878"/>
      <c r="L3" s="1878"/>
      <c r="M3" s="1878"/>
      <c r="N3" s="1878"/>
      <c r="O3" s="1878"/>
      <c r="P3" s="1878"/>
      <c r="Q3" s="1878"/>
    </row>
    <row r="4" spans="1:17">
      <c r="A4" s="52"/>
      <c r="B4" s="52"/>
      <c r="C4" s="53"/>
      <c r="D4" s="53"/>
      <c r="E4" s="53"/>
      <c r="F4" s="53"/>
      <c r="G4" s="53"/>
      <c r="H4" s="53"/>
      <c r="I4" s="53"/>
      <c r="J4" s="53"/>
      <c r="K4" s="52"/>
      <c r="L4" s="52"/>
      <c r="M4" s="52"/>
      <c r="N4" s="52" t="s">
        <v>19</v>
      </c>
      <c r="O4" s="52"/>
      <c r="P4" s="52"/>
      <c r="Q4" s="53"/>
    </row>
    <row r="5" spans="1:17" ht="133.5" customHeight="1">
      <c r="A5" s="1879" t="s">
        <v>0</v>
      </c>
      <c r="B5" s="1873" t="s">
        <v>169</v>
      </c>
      <c r="C5" s="1873" t="s">
        <v>202</v>
      </c>
      <c r="D5" s="1873" t="s">
        <v>203</v>
      </c>
      <c r="E5" s="1873" t="s">
        <v>150</v>
      </c>
      <c r="F5" s="1873" t="s">
        <v>157</v>
      </c>
      <c r="G5" s="1873" t="s">
        <v>206</v>
      </c>
      <c r="H5" s="1873" t="s">
        <v>205</v>
      </c>
      <c r="I5" s="1875" t="s">
        <v>207</v>
      </c>
      <c r="J5" s="1876"/>
      <c r="K5" s="1877"/>
      <c r="L5" s="1873" t="s">
        <v>208</v>
      </c>
      <c r="M5" s="1873" t="s">
        <v>209</v>
      </c>
      <c r="N5" s="1873" t="s">
        <v>38</v>
      </c>
      <c r="O5" s="1873" t="s">
        <v>84</v>
      </c>
      <c r="P5" s="1873" t="s">
        <v>85</v>
      </c>
      <c r="Q5" s="1873" t="s">
        <v>2</v>
      </c>
    </row>
    <row r="6" spans="1:17" ht="50" customHeight="1">
      <c r="A6" s="1880"/>
      <c r="B6" s="1874"/>
      <c r="C6" s="1874"/>
      <c r="D6" s="1874"/>
      <c r="E6" s="1874"/>
      <c r="F6" s="1874"/>
      <c r="G6" s="1874"/>
      <c r="H6" s="1874"/>
      <c r="I6" s="146" t="s">
        <v>158</v>
      </c>
      <c r="J6" s="146" t="s">
        <v>99</v>
      </c>
      <c r="K6" s="146" t="s">
        <v>156</v>
      </c>
      <c r="L6" s="1874"/>
      <c r="M6" s="1874"/>
      <c r="N6" s="1874"/>
      <c r="O6" s="1874"/>
      <c r="P6" s="1874"/>
      <c r="Q6" s="1874"/>
    </row>
    <row r="7" spans="1:17" s="250" customFormat="1" ht="30" customHeight="1">
      <c r="A7" s="149" t="s">
        <v>113</v>
      </c>
      <c r="B7" s="150" t="s">
        <v>114</v>
      </c>
      <c r="C7" s="150" t="s">
        <v>115</v>
      </c>
      <c r="D7" s="151" t="s">
        <v>116</v>
      </c>
      <c r="E7" s="151" t="s">
        <v>116</v>
      </c>
      <c r="F7" s="151" t="s">
        <v>117</v>
      </c>
      <c r="G7" s="151" t="s">
        <v>118</v>
      </c>
      <c r="H7" s="151" t="s">
        <v>580</v>
      </c>
      <c r="I7" s="151" t="s">
        <v>121</v>
      </c>
      <c r="J7" s="151" t="s">
        <v>123</v>
      </c>
      <c r="K7" s="151" t="s">
        <v>132</v>
      </c>
      <c r="L7" s="151" t="s">
        <v>124</v>
      </c>
      <c r="M7" s="151" t="s">
        <v>125</v>
      </c>
      <c r="N7" s="151" t="s">
        <v>126</v>
      </c>
      <c r="O7" s="152" t="s">
        <v>127</v>
      </c>
      <c r="P7" s="152" t="s">
        <v>128</v>
      </c>
      <c r="Q7" s="151" t="s">
        <v>204</v>
      </c>
    </row>
    <row r="8" spans="1:17" ht="25" customHeight="1">
      <c r="A8" s="157" t="s">
        <v>5</v>
      </c>
      <c r="B8" s="157" t="s">
        <v>292</v>
      </c>
      <c r="C8" s="158"/>
      <c r="D8" s="158"/>
      <c r="E8" s="158"/>
      <c r="F8" s="243"/>
      <c r="G8" s="158"/>
      <c r="H8" s="158"/>
      <c r="I8" s="158"/>
      <c r="J8" s="158"/>
      <c r="K8" s="157"/>
      <c r="L8" s="157"/>
      <c r="M8" s="157"/>
      <c r="N8" s="157"/>
      <c r="O8" s="157"/>
      <c r="P8" s="157"/>
      <c r="Q8" s="157"/>
    </row>
    <row r="9" spans="1:17" ht="25" customHeight="1">
      <c r="A9" s="168" t="s">
        <v>6</v>
      </c>
      <c r="B9" s="168" t="s">
        <v>575</v>
      </c>
      <c r="C9" s="169"/>
      <c r="D9" s="169"/>
      <c r="E9" s="169"/>
      <c r="F9" s="244"/>
      <c r="G9" s="169"/>
      <c r="H9" s="169"/>
      <c r="I9" s="169"/>
      <c r="J9" s="169"/>
      <c r="K9" s="168"/>
      <c r="L9" s="168"/>
      <c r="M9" s="168"/>
      <c r="N9" s="168"/>
      <c r="O9" s="168"/>
      <c r="P9" s="168"/>
      <c r="Q9" s="168"/>
    </row>
    <row r="10" spans="1:17" ht="25" customHeight="1">
      <c r="A10" s="168">
        <v>1</v>
      </c>
      <c r="B10" s="168" t="s">
        <v>4</v>
      </c>
      <c r="C10" s="169"/>
      <c r="D10" s="169"/>
      <c r="E10" s="169"/>
      <c r="F10" s="244"/>
      <c r="G10" s="169"/>
      <c r="H10" s="169"/>
      <c r="I10" s="169"/>
      <c r="J10" s="169"/>
      <c r="K10" s="168"/>
      <c r="L10" s="168"/>
      <c r="M10" s="168"/>
      <c r="N10" s="168"/>
      <c r="O10" s="168"/>
      <c r="P10" s="168"/>
      <c r="Q10" s="168"/>
    </row>
    <row r="11" spans="1:17" s="50" customFormat="1" ht="25" customHeight="1">
      <c r="A11" s="170" t="s">
        <v>145</v>
      </c>
      <c r="B11" s="171" t="s">
        <v>159</v>
      </c>
      <c r="C11" s="172"/>
      <c r="D11" s="172"/>
      <c r="E11" s="172"/>
      <c r="F11" s="175"/>
      <c r="G11" s="172"/>
      <c r="H11" s="172"/>
      <c r="I11" s="173"/>
      <c r="J11" s="173"/>
      <c r="K11" s="173"/>
      <c r="L11" s="173"/>
      <c r="M11" s="173"/>
      <c r="N11" s="173"/>
      <c r="O11" s="173"/>
      <c r="P11" s="173"/>
      <c r="Q11" s="174"/>
    </row>
    <row r="12" spans="1:17" s="50" customFormat="1" ht="25" customHeight="1">
      <c r="A12" s="269" t="s">
        <v>224</v>
      </c>
      <c r="B12" s="296" t="s">
        <v>248</v>
      </c>
      <c r="C12" s="272">
        <v>2</v>
      </c>
      <c r="D12" s="297">
        <v>1</v>
      </c>
      <c r="E12" s="272">
        <v>1</v>
      </c>
      <c r="F12" s="180">
        <f>I12+J12+K12</f>
        <v>33</v>
      </c>
      <c r="G12" s="175">
        <v>40</v>
      </c>
      <c r="H12" s="175">
        <f>C12*D12*E12*G12</f>
        <v>80</v>
      </c>
      <c r="I12" s="177">
        <f>IF(G12&lt;70, C12*E12*16.5*1, C12*E12*16.5*1.3)</f>
        <v>33</v>
      </c>
      <c r="J12" s="173"/>
      <c r="K12" s="173"/>
      <c r="L12" s="173"/>
      <c r="M12" s="173"/>
      <c r="N12" s="173"/>
      <c r="O12" s="173"/>
      <c r="P12" s="173"/>
      <c r="Q12" s="174"/>
    </row>
    <row r="13" spans="1:17" s="50" customFormat="1" ht="25" customHeight="1">
      <c r="A13" s="269" t="s">
        <v>225</v>
      </c>
      <c r="B13" s="296" t="s">
        <v>619</v>
      </c>
      <c r="C13" s="272">
        <v>1</v>
      </c>
      <c r="D13" s="272">
        <v>1.4</v>
      </c>
      <c r="E13" s="272">
        <v>14</v>
      </c>
      <c r="F13" s="180">
        <f>I13+J13+K13</f>
        <v>231</v>
      </c>
      <c r="G13" s="175">
        <v>20</v>
      </c>
      <c r="H13" s="175">
        <f t="shared" ref="H13:H44" si="0">C13*D13*E13*G13</f>
        <v>391.99999999999994</v>
      </c>
      <c r="I13" s="177">
        <f t="shared" ref="I13:I45" si="1">IF(G13&lt;70, C13*E13*16.5*1, C13*E13*16.5*1.3)</f>
        <v>231</v>
      </c>
      <c r="J13" s="173"/>
      <c r="K13" s="173"/>
      <c r="L13" s="173"/>
      <c r="M13" s="173"/>
      <c r="N13" s="173"/>
      <c r="O13" s="173"/>
      <c r="P13" s="173"/>
      <c r="Q13" s="174"/>
    </row>
    <row r="14" spans="1:17" s="50" customFormat="1" ht="25" customHeight="1">
      <c r="A14" s="269" t="s">
        <v>226</v>
      </c>
      <c r="B14" s="296" t="s">
        <v>249</v>
      </c>
      <c r="C14" s="272">
        <v>2</v>
      </c>
      <c r="D14" s="272">
        <v>1</v>
      </c>
      <c r="E14" s="272">
        <v>1</v>
      </c>
      <c r="F14" s="180">
        <f t="shared" ref="F14:F46" si="2">I14+J14+K14</f>
        <v>42.9</v>
      </c>
      <c r="G14" s="175">
        <v>80</v>
      </c>
      <c r="H14" s="175">
        <f t="shared" si="0"/>
        <v>160</v>
      </c>
      <c r="I14" s="177">
        <f t="shared" si="1"/>
        <v>42.9</v>
      </c>
      <c r="J14" s="173"/>
      <c r="K14" s="173"/>
      <c r="L14" s="173"/>
      <c r="M14" s="173"/>
      <c r="N14" s="173"/>
      <c r="O14" s="173"/>
      <c r="P14" s="173"/>
      <c r="Q14" s="174"/>
    </row>
    <row r="15" spans="1:17" s="50" customFormat="1" ht="25" customHeight="1">
      <c r="A15" s="269" t="s">
        <v>227</v>
      </c>
      <c r="B15" s="296" t="s">
        <v>620</v>
      </c>
      <c r="C15" s="272">
        <v>2</v>
      </c>
      <c r="D15" s="272">
        <v>1</v>
      </c>
      <c r="E15" s="272">
        <v>3</v>
      </c>
      <c r="F15" s="180">
        <f t="shared" si="2"/>
        <v>128.70000000000002</v>
      </c>
      <c r="G15" s="175">
        <v>70</v>
      </c>
      <c r="H15" s="175">
        <f t="shared" si="0"/>
        <v>420</v>
      </c>
      <c r="I15" s="177">
        <f t="shared" si="1"/>
        <v>128.70000000000002</v>
      </c>
      <c r="J15" s="173"/>
      <c r="K15" s="173"/>
      <c r="L15" s="173"/>
      <c r="M15" s="173"/>
      <c r="N15" s="173"/>
      <c r="O15" s="173"/>
      <c r="P15" s="173"/>
      <c r="Q15" s="174"/>
    </row>
    <row r="16" spans="1:17" s="50" customFormat="1" ht="25" customHeight="1">
      <c r="A16" s="269" t="s">
        <v>228</v>
      </c>
      <c r="B16" s="298" t="s">
        <v>621</v>
      </c>
      <c r="C16" s="272">
        <v>2</v>
      </c>
      <c r="D16" s="272">
        <v>1</v>
      </c>
      <c r="E16" s="272">
        <v>3</v>
      </c>
      <c r="F16" s="180">
        <f t="shared" si="2"/>
        <v>128.70000000000002</v>
      </c>
      <c r="G16" s="175">
        <v>70</v>
      </c>
      <c r="H16" s="175">
        <f t="shared" si="0"/>
        <v>420</v>
      </c>
      <c r="I16" s="177">
        <f t="shared" si="1"/>
        <v>128.70000000000002</v>
      </c>
      <c r="J16" s="173"/>
      <c r="K16" s="173"/>
      <c r="L16" s="173"/>
      <c r="M16" s="173"/>
      <c r="N16" s="173"/>
      <c r="O16" s="173"/>
      <c r="P16" s="173"/>
      <c r="Q16" s="174"/>
    </row>
    <row r="17" spans="1:17" s="50" customFormat="1" ht="25" customHeight="1">
      <c r="A17" s="269" t="s">
        <v>229</v>
      </c>
      <c r="B17" s="296" t="s">
        <v>257</v>
      </c>
      <c r="C17" s="272">
        <v>5</v>
      </c>
      <c r="D17" s="272">
        <v>1</v>
      </c>
      <c r="E17" s="272">
        <v>4</v>
      </c>
      <c r="F17" s="180">
        <f t="shared" si="2"/>
        <v>429</v>
      </c>
      <c r="G17" s="175">
        <v>70</v>
      </c>
      <c r="H17" s="175">
        <f t="shared" si="0"/>
        <v>1400</v>
      </c>
      <c r="I17" s="177">
        <f t="shared" si="1"/>
        <v>429</v>
      </c>
      <c r="J17" s="173"/>
      <c r="K17" s="173"/>
      <c r="L17" s="173"/>
      <c r="M17" s="173"/>
      <c r="N17" s="173"/>
      <c r="O17" s="173"/>
      <c r="P17" s="173"/>
      <c r="Q17" s="174"/>
    </row>
    <row r="18" spans="1:17" s="50" customFormat="1" ht="25" customHeight="1">
      <c r="A18" s="269" t="s">
        <v>280</v>
      </c>
      <c r="B18" s="296" t="s">
        <v>247</v>
      </c>
      <c r="C18" s="271">
        <v>2</v>
      </c>
      <c r="D18" s="297">
        <v>1</v>
      </c>
      <c r="E18" s="271">
        <v>1</v>
      </c>
      <c r="F18" s="180">
        <f t="shared" si="2"/>
        <v>33</v>
      </c>
      <c r="G18" s="177">
        <v>40</v>
      </c>
      <c r="H18" s="175">
        <f t="shared" si="0"/>
        <v>80</v>
      </c>
      <c r="I18" s="177">
        <f t="shared" si="1"/>
        <v>33</v>
      </c>
      <c r="J18" s="173"/>
      <c r="K18" s="173"/>
      <c r="L18" s="173"/>
      <c r="M18" s="173"/>
      <c r="N18" s="173"/>
      <c r="O18" s="173"/>
      <c r="P18" s="173"/>
      <c r="Q18" s="174"/>
    </row>
    <row r="19" spans="1:17" s="50" customFormat="1" ht="25" customHeight="1">
      <c r="A19" s="269" t="s">
        <v>281</v>
      </c>
      <c r="B19" s="298" t="s">
        <v>622</v>
      </c>
      <c r="C19" s="272">
        <v>2</v>
      </c>
      <c r="D19" s="272">
        <v>1</v>
      </c>
      <c r="E19" s="272">
        <v>2</v>
      </c>
      <c r="F19" s="180">
        <f t="shared" si="2"/>
        <v>85.8</v>
      </c>
      <c r="G19" s="175">
        <v>80</v>
      </c>
      <c r="H19" s="175">
        <f t="shared" si="0"/>
        <v>320</v>
      </c>
      <c r="I19" s="177">
        <f t="shared" si="1"/>
        <v>85.8</v>
      </c>
      <c r="J19" s="173"/>
      <c r="K19" s="173"/>
      <c r="L19" s="173"/>
      <c r="M19" s="173"/>
      <c r="N19" s="173"/>
      <c r="O19" s="173"/>
      <c r="P19" s="173"/>
      <c r="Q19" s="174"/>
    </row>
    <row r="20" spans="1:17" s="50" customFormat="1" ht="25" customHeight="1">
      <c r="A20" s="269" t="s">
        <v>282</v>
      </c>
      <c r="B20" s="296" t="s">
        <v>623</v>
      </c>
      <c r="C20" s="272">
        <v>1</v>
      </c>
      <c r="D20" s="272">
        <v>1.4</v>
      </c>
      <c r="E20" s="272">
        <v>6</v>
      </c>
      <c r="F20" s="180">
        <f t="shared" si="2"/>
        <v>99</v>
      </c>
      <c r="G20" s="175">
        <v>20</v>
      </c>
      <c r="H20" s="175">
        <f t="shared" si="0"/>
        <v>167.99999999999997</v>
      </c>
      <c r="I20" s="177">
        <f t="shared" si="1"/>
        <v>99</v>
      </c>
      <c r="J20" s="173"/>
      <c r="K20" s="173"/>
      <c r="L20" s="173"/>
      <c r="M20" s="173"/>
      <c r="N20" s="173"/>
      <c r="O20" s="173"/>
      <c r="P20" s="173"/>
      <c r="Q20" s="174"/>
    </row>
    <row r="21" spans="1:17" s="50" customFormat="1" ht="25" customHeight="1">
      <c r="A21" s="269" t="s">
        <v>283</v>
      </c>
      <c r="B21" s="296" t="s">
        <v>624</v>
      </c>
      <c r="C21" s="272">
        <v>3</v>
      </c>
      <c r="D21" s="272">
        <v>1</v>
      </c>
      <c r="E21" s="272">
        <v>2</v>
      </c>
      <c r="F21" s="180">
        <f t="shared" si="2"/>
        <v>128.70000000000002</v>
      </c>
      <c r="G21" s="175">
        <v>80</v>
      </c>
      <c r="H21" s="175">
        <f t="shared" si="0"/>
        <v>480</v>
      </c>
      <c r="I21" s="177">
        <f t="shared" si="1"/>
        <v>128.70000000000002</v>
      </c>
      <c r="J21" s="178"/>
      <c r="K21" s="178"/>
      <c r="L21" s="178"/>
      <c r="M21" s="178"/>
      <c r="N21" s="178"/>
      <c r="O21" s="178"/>
      <c r="P21" s="178"/>
      <c r="Q21" s="179"/>
    </row>
    <row r="22" spans="1:17" s="50" customFormat="1" ht="25" customHeight="1">
      <c r="A22" s="269" t="s">
        <v>284</v>
      </c>
      <c r="B22" s="296" t="s">
        <v>250</v>
      </c>
      <c r="C22" s="272">
        <v>2</v>
      </c>
      <c r="D22" s="272">
        <v>1</v>
      </c>
      <c r="E22" s="272">
        <v>1</v>
      </c>
      <c r="F22" s="180">
        <f t="shared" si="2"/>
        <v>33</v>
      </c>
      <c r="G22" s="175">
        <v>40</v>
      </c>
      <c r="H22" s="175">
        <f t="shared" si="0"/>
        <v>80</v>
      </c>
      <c r="I22" s="177">
        <f t="shared" si="1"/>
        <v>33</v>
      </c>
      <c r="J22" s="178"/>
      <c r="K22" s="178"/>
      <c r="L22" s="178"/>
      <c r="M22" s="178"/>
      <c r="N22" s="178"/>
      <c r="O22" s="178"/>
      <c r="P22" s="178"/>
      <c r="Q22" s="179"/>
    </row>
    <row r="23" spans="1:17" s="50" customFormat="1" ht="25" customHeight="1">
      <c r="A23" s="269" t="s">
        <v>287</v>
      </c>
      <c r="B23" s="296" t="s">
        <v>251</v>
      </c>
      <c r="C23" s="272">
        <v>2</v>
      </c>
      <c r="D23" s="272">
        <v>1</v>
      </c>
      <c r="E23" s="272">
        <v>1</v>
      </c>
      <c r="F23" s="180">
        <f t="shared" si="2"/>
        <v>33</v>
      </c>
      <c r="G23" s="175">
        <v>40</v>
      </c>
      <c r="H23" s="175">
        <f t="shared" si="0"/>
        <v>80</v>
      </c>
      <c r="I23" s="177">
        <f t="shared" si="1"/>
        <v>33</v>
      </c>
      <c r="J23" s="178"/>
      <c r="K23" s="178"/>
      <c r="L23" s="178"/>
      <c r="M23" s="178"/>
      <c r="N23" s="178"/>
      <c r="O23" s="178"/>
      <c r="P23" s="178"/>
      <c r="Q23" s="179"/>
    </row>
    <row r="24" spans="1:17" s="50" customFormat="1" ht="25" customHeight="1">
      <c r="A24" s="269" t="s">
        <v>288</v>
      </c>
      <c r="B24" s="296" t="s">
        <v>252</v>
      </c>
      <c r="C24" s="272">
        <v>4</v>
      </c>
      <c r="D24" s="272">
        <v>1.4</v>
      </c>
      <c r="E24" s="272">
        <v>6</v>
      </c>
      <c r="F24" s="180">
        <f t="shared" si="2"/>
        <v>240</v>
      </c>
      <c r="G24" s="175">
        <v>20</v>
      </c>
      <c r="H24" s="175">
        <f t="shared" si="0"/>
        <v>671.99999999999989</v>
      </c>
      <c r="I24" s="177">
        <f>E24*G24*2</f>
        <v>240</v>
      </c>
      <c r="J24" s="178"/>
      <c r="K24" s="178"/>
      <c r="L24" s="178"/>
      <c r="M24" s="178"/>
      <c r="N24" s="178"/>
      <c r="O24" s="178"/>
      <c r="P24" s="178"/>
      <c r="Q24" s="179"/>
    </row>
    <row r="25" spans="1:17" s="50" customFormat="1" ht="25" customHeight="1">
      <c r="A25" s="269" t="s">
        <v>289</v>
      </c>
      <c r="B25" s="296" t="s">
        <v>253</v>
      </c>
      <c r="C25" s="272">
        <v>3</v>
      </c>
      <c r="D25" s="272">
        <v>1.3</v>
      </c>
      <c r="E25" s="272">
        <v>7</v>
      </c>
      <c r="F25" s="180">
        <f t="shared" si="2"/>
        <v>346.5</v>
      </c>
      <c r="G25" s="175">
        <v>20</v>
      </c>
      <c r="H25" s="175">
        <f t="shared" si="0"/>
        <v>546.00000000000011</v>
      </c>
      <c r="I25" s="177">
        <f t="shared" si="1"/>
        <v>346.5</v>
      </c>
      <c r="J25" s="178"/>
      <c r="K25" s="178"/>
      <c r="L25" s="178"/>
      <c r="M25" s="178"/>
      <c r="N25" s="178"/>
      <c r="O25" s="178"/>
      <c r="P25" s="178"/>
      <c r="Q25" s="179"/>
    </row>
    <row r="26" spans="1:17" s="50" customFormat="1" ht="25" customHeight="1">
      <c r="A26" s="269" t="s">
        <v>290</v>
      </c>
      <c r="B26" s="296" t="s">
        <v>254</v>
      </c>
      <c r="C26" s="272">
        <v>3</v>
      </c>
      <c r="D26" s="272">
        <v>1</v>
      </c>
      <c r="E26" s="272">
        <v>2</v>
      </c>
      <c r="F26" s="180">
        <f t="shared" si="2"/>
        <v>128.70000000000002</v>
      </c>
      <c r="G26" s="175">
        <v>70</v>
      </c>
      <c r="H26" s="175">
        <f t="shared" si="0"/>
        <v>420</v>
      </c>
      <c r="I26" s="177">
        <f t="shared" si="1"/>
        <v>128.70000000000002</v>
      </c>
      <c r="J26" s="178"/>
      <c r="K26" s="178"/>
      <c r="L26" s="178"/>
      <c r="M26" s="178"/>
      <c r="N26" s="178"/>
      <c r="O26" s="178"/>
      <c r="P26" s="178"/>
      <c r="Q26" s="179"/>
    </row>
    <row r="27" spans="1:17" s="50" customFormat="1" ht="25" customHeight="1">
      <c r="A27" s="269" t="s">
        <v>389</v>
      </c>
      <c r="B27" s="299" t="s">
        <v>625</v>
      </c>
      <c r="C27" s="272">
        <v>3</v>
      </c>
      <c r="D27" s="272">
        <v>1</v>
      </c>
      <c r="E27" s="272">
        <v>4</v>
      </c>
      <c r="F27" s="180">
        <f t="shared" si="2"/>
        <v>257.40000000000003</v>
      </c>
      <c r="G27" s="175">
        <v>70</v>
      </c>
      <c r="H27" s="175">
        <f t="shared" si="0"/>
        <v>840</v>
      </c>
      <c r="I27" s="177">
        <f t="shared" si="1"/>
        <v>257.40000000000003</v>
      </c>
      <c r="J27" s="178"/>
      <c r="K27" s="178"/>
      <c r="L27" s="178"/>
      <c r="M27" s="178"/>
      <c r="N27" s="178"/>
      <c r="O27" s="178"/>
      <c r="P27" s="178"/>
      <c r="Q27" s="179"/>
    </row>
    <row r="28" spans="1:17" s="50" customFormat="1" ht="25" customHeight="1">
      <c r="A28" s="269" t="s">
        <v>390</v>
      </c>
      <c r="B28" s="296" t="s">
        <v>626</v>
      </c>
      <c r="C28" s="272">
        <v>5</v>
      </c>
      <c r="D28" s="272">
        <v>1.4</v>
      </c>
      <c r="E28" s="272">
        <v>6</v>
      </c>
      <c r="F28" s="180">
        <f t="shared" si="2"/>
        <v>495</v>
      </c>
      <c r="G28" s="175">
        <v>45</v>
      </c>
      <c r="H28" s="175">
        <f t="shared" si="0"/>
        <v>1890</v>
      </c>
      <c r="I28" s="177">
        <f t="shared" si="1"/>
        <v>495</v>
      </c>
      <c r="J28" s="178"/>
      <c r="K28" s="178"/>
      <c r="L28" s="178"/>
      <c r="M28" s="178"/>
      <c r="N28" s="178"/>
      <c r="O28" s="178"/>
      <c r="P28" s="178"/>
      <c r="Q28" s="179"/>
    </row>
    <row r="29" spans="1:17" s="50" customFormat="1" ht="25" customHeight="1">
      <c r="A29" s="269" t="s">
        <v>391</v>
      </c>
      <c r="B29" s="296" t="s">
        <v>258</v>
      </c>
      <c r="C29" s="272">
        <v>2</v>
      </c>
      <c r="D29" s="272">
        <v>1</v>
      </c>
      <c r="E29" s="272">
        <v>4</v>
      </c>
      <c r="F29" s="180">
        <f t="shared" si="2"/>
        <v>132</v>
      </c>
      <c r="G29" s="175">
        <v>40</v>
      </c>
      <c r="H29" s="175">
        <f t="shared" si="0"/>
        <v>320</v>
      </c>
      <c r="I29" s="177">
        <f t="shared" si="1"/>
        <v>132</v>
      </c>
      <c r="J29" s="178"/>
      <c r="K29" s="178"/>
      <c r="L29" s="178"/>
      <c r="M29" s="178"/>
      <c r="N29" s="178"/>
      <c r="O29" s="178"/>
      <c r="P29" s="178"/>
      <c r="Q29" s="179"/>
    </row>
    <row r="30" spans="1:17" s="50" customFormat="1" ht="25" customHeight="1">
      <c r="A30" s="269" t="s">
        <v>392</v>
      </c>
      <c r="B30" s="296" t="s">
        <v>627</v>
      </c>
      <c r="C30" s="272">
        <v>2</v>
      </c>
      <c r="D30" s="272">
        <v>1</v>
      </c>
      <c r="E30" s="272">
        <v>2</v>
      </c>
      <c r="F30" s="180">
        <f t="shared" si="2"/>
        <v>66</v>
      </c>
      <c r="G30" s="175">
        <v>65</v>
      </c>
      <c r="H30" s="175">
        <f t="shared" si="0"/>
        <v>260</v>
      </c>
      <c r="I30" s="177">
        <f t="shared" si="1"/>
        <v>66</v>
      </c>
      <c r="J30" s="178"/>
      <c r="K30" s="178"/>
      <c r="L30" s="178"/>
      <c r="M30" s="178"/>
      <c r="N30" s="178"/>
      <c r="O30" s="178"/>
      <c r="P30" s="178"/>
      <c r="Q30" s="179"/>
    </row>
    <row r="31" spans="1:17" s="50" customFormat="1" ht="25" customHeight="1">
      <c r="A31" s="269" t="s">
        <v>393</v>
      </c>
      <c r="B31" s="296" t="s">
        <v>628</v>
      </c>
      <c r="C31" s="272">
        <v>4</v>
      </c>
      <c r="D31" s="272">
        <v>1</v>
      </c>
      <c r="E31" s="272">
        <v>2</v>
      </c>
      <c r="F31" s="180">
        <f t="shared" si="2"/>
        <v>171.6</v>
      </c>
      <c r="G31" s="175">
        <v>70</v>
      </c>
      <c r="H31" s="175">
        <f t="shared" si="0"/>
        <v>560</v>
      </c>
      <c r="I31" s="177">
        <f t="shared" si="1"/>
        <v>171.6</v>
      </c>
      <c r="J31" s="178"/>
      <c r="K31" s="178"/>
      <c r="L31" s="178"/>
      <c r="M31" s="178"/>
      <c r="N31" s="178"/>
      <c r="O31" s="178"/>
      <c r="P31" s="178"/>
      <c r="Q31" s="179"/>
    </row>
    <row r="32" spans="1:17" s="50" customFormat="1" ht="25" customHeight="1">
      <c r="A32" s="269" t="s">
        <v>394</v>
      </c>
      <c r="B32" s="296" t="s">
        <v>629</v>
      </c>
      <c r="C32" s="272">
        <v>2</v>
      </c>
      <c r="D32" s="272">
        <v>1.08</v>
      </c>
      <c r="E32" s="272">
        <v>4</v>
      </c>
      <c r="F32" s="180">
        <f t="shared" si="2"/>
        <v>132</v>
      </c>
      <c r="G32" s="175">
        <v>50</v>
      </c>
      <c r="H32" s="175">
        <f t="shared" si="0"/>
        <v>432</v>
      </c>
      <c r="I32" s="177">
        <f t="shared" si="1"/>
        <v>132</v>
      </c>
      <c r="J32" s="178"/>
      <c r="K32" s="178"/>
      <c r="L32" s="178"/>
      <c r="M32" s="178"/>
      <c r="N32" s="178"/>
      <c r="O32" s="178"/>
      <c r="P32" s="178"/>
      <c r="Q32" s="179"/>
    </row>
    <row r="33" spans="1:17" s="50" customFormat="1" ht="25" customHeight="1">
      <c r="A33" s="269" t="s">
        <v>395</v>
      </c>
      <c r="B33" s="300" t="s">
        <v>260</v>
      </c>
      <c r="C33" s="301">
        <v>4</v>
      </c>
      <c r="D33" s="272">
        <v>1.08</v>
      </c>
      <c r="E33" s="302">
        <v>2</v>
      </c>
      <c r="F33" s="180">
        <f t="shared" si="2"/>
        <v>171.6</v>
      </c>
      <c r="G33" s="181">
        <v>70</v>
      </c>
      <c r="H33" s="175">
        <f t="shared" si="0"/>
        <v>604.80000000000007</v>
      </c>
      <c r="I33" s="177">
        <f t="shared" si="1"/>
        <v>171.6</v>
      </c>
      <c r="J33" s="178"/>
      <c r="K33" s="178"/>
      <c r="L33" s="178"/>
      <c r="M33" s="178"/>
      <c r="N33" s="178"/>
      <c r="O33" s="178"/>
      <c r="P33" s="178"/>
      <c r="Q33" s="179"/>
    </row>
    <row r="34" spans="1:17" s="50" customFormat="1" ht="25" customHeight="1">
      <c r="A34" s="269" t="s">
        <v>396</v>
      </c>
      <c r="B34" s="303" t="s">
        <v>630</v>
      </c>
      <c r="C34" s="272">
        <v>3</v>
      </c>
      <c r="D34" s="272">
        <v>1</v>
      </c>
      <c r="E34" s="272">
        <v>2</v>
      </c>
      <c r="F34" s="180">
        <f t="shared" si="2"/>
        <v>128.70000000000002</v>
      </c>
      <c r="G34" s="175">
        <v>80</v>
      </c>
      <c r="H34" s="175">
        <f t="shared" si="0"/>
        <v>480</v>
      </c>
      <c r="I34" s="177">
        <f t="shared" si="1"/>
        <v>128.70000000000002</v>
      </c>
      <c r="J34" s="178"/>
      <c r="K34" s="178"/>
      <c r="L34" s="178"/>
      <c r="M34" s="178"/>
      <c r="N34" s="178"/>
      <c r="O34" s="178"/>
      <c r="P34" s="178"/>
      <c r="Q34" s="179"/>
    </row>
    <row r="35" spans="1:17" s="50" customFormat="1" ht="25" customHeight="1">
      <c r="A35" s="269" t="s">
        <v>397</v>
      </c>
      <c r="B35" s="296" t="s">
        <v>631</v>
      </c>
      <c r="C35" s="272">
        <v>3</v>
      </c>
      <c r="D35" s="272">
        <v>1</v>
      </c>
      <c r="E35" s="272">
        <v>2</v>
      </c>
      <c r="F35" s="180">
        <f t="shared" si="2"/>
        <v>128.70000000000002</v>
      </c>
      <c r="G35" s="175">
        <v>70</v>
      </c>
      <c r="H35" s="175">
        <f t="shared" si="0"/>
        <v>420</v>
      </c>
      <c r="I35" s="177">
        <f t="shared" si="1"/>
        <v>128.70000000000002</v>
      </c>
      <c r="J35" s="178"/>
      <c r="K35" s="178"/>
      <c r="L35" s="178"/>
      <c r="M35" s="178"/>
      <c r="N35" s="178"/>
      <c r="O35" s="178"/>
      <c r="P35" s="178"/>
      <c r="Q35" s="179"/>
    </row>
    <row r="36" spans="1:17" s="50" customFormat="1" ht="25" customHeight="1">
      <c r="A36" s="269" t="s">
        <v>398</v>
      </c>
      <c r="B36" s="296" t="s">
        <v>262</v>
      </c>
      <c r="C36" s="272">
        <v>3</v>
      </c>
      <c r="D36" s="272">
        <v>1</v>
      </c>
      <c r="E36" s="272">
        <v>1</v>
      </c>
      <c r="F36" s="180">
        <f t="shared" si="2"/>
        <v>49.5</v>
      </c>
      <c r="G36" s="175">
        <v>21</v>
      </c>
      <c r="H36" s="175">
        <f t="shared" si="0"/>
        <v>63</v>
      </c>
      <c r="I36" s="177">
        <f t="shared" si="1"/>
        <v>49.5</v>
      </c>
      <c r="J36" s="178"/>
      <c r="K36" s="178"/>
      <c r="L36" s="178"/>
      <c r="M36" s="178"/>
      <c r="N36" s="178"/>
      <c r="O36" s="178"/>
      <c r="P36" s="178"/>
      <c r="Q36" s="179"/>
    </row>
    <row r="37" spans="1:17" s="50" customFormat="1" ht="25" customHeight="1">
      <c r="A37" s="269" t="s">
        <v>399</v>
      </c>
      <c r="B37" s="296" t="s">
        <v>632</v>
      </c>
      <c r="C37" s="272">
        <v>4</v>
      </c>
      <c r="D37" s="272">
        <v>1</v>
      </c>
      <c r="E37" s="272">
        <v>5</v>
      </c>
      <c r="F37" s="180">
        <f t="shared" si="2"/>
        <v>429</v>
      </c>
      <c r="G37" s="175">
        <v>70</v>
      </c>
      <c r="H37" s="175">
        <f t="shared" si="0"/>
        <v>1400</v>
      </c>
      <c r="I37" s="177">
        <f t="shared" si="1"/>
        <v>429</v>
      </c>
      <c r="J37" s="178"/>
      <c r="K37" s="178"/>
      <c r="L37" s="178"/>
      <c r="M37" s="178"/>
      <c r="N37" s="178"/>
      <c r="O37" s="178"/>
      <c r="P37" s="178"/>
      <c r="Q37" s="179"/>
    </row>
    <row r="38" spans="1:17" s="50" customFormat="1" ht="25" customHeight="1">
      <c r="A38" s="269" t="s">
        <v>400</v>
      </c>
      <c r="B38" s="296" t="s">
        <v>626</v>
      </c>
      <c r="C38" s="272">
        <v>2</v>
      </c>
      <c r="D38" s="272">
        <v>1.4</v>
      </c>
      <c r="E38" s="272">
        <v>6</v>
      </c>
      <c r="F38" s="180">
        <f t="shared" si="2"/>
        <v>90</v>
      </c>
      <c r="G38" s="175">
        <v>20</v>
      </c>
      <c r="H38" s="175">
        <f t="shared" si="0"/>
        <v>335.99999999999994</v>
      </c>
      <c r="I38" s="177">
        <f>E38*15</f>
        <v>90</v>
      </c>
      <c r="J38" s="178"/>
      <c r="K38" s="178"/>
      <c r="L38" s="178"/>
      <c r="M38" s="178"/>
      <c r="N38" s="178"/>
      <c r="O38" s="178"/>
      <c r="P38" s="178"/>
      <c r="Q38" s="179"/>
    </row>
    <row r="39" spans="1:17" s="50" customFormat="1" ht="25" customHeight="1">
      <c r="A39" s="269" t="s">
        <v>401</v>
      </c>
      <c r="B39" s="296" t="s">
        <v>263</v>
      </c>
      <c r="C39" s="272">
        <v>3</v>
      </c>
      <c r="D39" s="272">
        <v>1</v>
      </c>
      <c r="E39" s="272">
        <v>6</v>
      </c>
      <c r="F39" s="180">
        <f t="shared" si="2"/>
        <v>297</v>
      </c>
      <c r="G39" s="175">
        <v>50</v>
      </c>
      <c r="H39" s="175">
        <f t="shared" si="0"/>
        <v>900</v>
      </c>
      <c r="I39" s="177">
        <f t="shared" si="1"/>
        <v>297</v>
      </c>
      <c r="J39" s="178"/>
      <c r="K39" s="178"/>
      <c r="L39" s="178"/>
      <c r="M39" s="178"/>
      <c r="N39" s="178"/>
      <c r="O39" s="178"/>
      <c r="P39" s="178"/>
      <c r="Q39" s="179"/>
    </row>
    <row r="40" spans="1:17" s="50" customFormat="1" ht="25" customHeight="1">
      <c r="A40" s="269" t="s">
        <v>402</v>
      </c>
      <c r="B40" s="296" t="s">
        <v>264</v>
      </c>
      <c r="C40" s="272">
        <v>3</v>
      </c>
      <c r="D40" s="272">
        <v>1</v>
      </c>
      <c r="E40" s="272">
        <v>3</v>
      </c>
      <c r="F40" s="180">
        <f t="shared" si="2"/>
        <v>193.05</v>
      </c>
      <c r="G40" s="175">
        <v>70</v>
      </c>
      <c r="H40" s="175">
        <f t="shared" si="0"/>
        <v>630</v>
      </c>
      <c r="I40" s="177">
        <f t="shared" si="1"/>
        <v>193.05</v>
      </c>
      <c r="J40" s="178"/>
      <c r="K40" s="178"/>
      <c r="L40" s="178"/>
      <c r="M40" s="178"/>
      <c r="N40" s="178"/>
      <c r="O40" s="178"/>
      <c r="P40" s="178"/>
      <c r="Q40" s="179"/>
    </row>
    <row r="41" spans="1:17" s="50" customFormat="1" ht="25" customHeight="1">
      <c r="A41" s="269" t="s">
        <v>403</v>
      </c>
      <c r="B41" s="296" t="s">
        <v>265</v>
      </c>
      <c r="C41" s="272">
        <v>2</v>
      </c>
      <c r="D41" s="272">
        <v>1</v>
      </c>
      <c r="E41" s="272">
        <v>1</v>
      </c>
      <c r="F41" s="180">
        <f t="shared" si="2"/>
        <v>33</v>
      </c>
      <c r="G41" s="175">
        <v>50</v>
      </c>
      <c r="H41" s="175">
        <f t="shared" si="0"/>
        <v>100</v>
      </c>
      <c r="I41" s="177">
        <f t="shared" si="1"/>
        <v>33</v>
      </c>
      <c r="J41" s="178"/>
      <c r="K41" s="178"/>
      <c r="L41" s="178"/>
      <c r="M41" s="178"/>
      <c r="N41" s="178"/>
      <c r="O41" s="178"/>
      <c r="P41" s="178"/>
      <c r="Q41" s="179"/>
    </row>
    <row r="42" spans="1:17" s="50" customFormat="1" ht="25" customHeight="1">
      <c r="A42" s="269" t="s">
        <v>404</v>
      </c>
      <c r="B42" s="296" t="s">
        <v>266</v>
      </c>
      <c r="C42" s="272">
        <v>2</v>
      </c>
      <c r="D42" s="272">
        <v>1</v>
      </c>
      <c r="E42" s="272">
        <v>1</v>
      </c>
      <c r="F42" s="180">
        <f t="shared" si="2"/>
        <v>33</v>
      </c>
      <c r="G42" s="175">
        <v>50</v>
      </c>
      <c r="H42" s="175">
        <f t="shared" si="0"/>
        <v>100</v>
      </c>
      <c r="I42" s="177">
        <f t="shared" si="1"/>
        <v>33</v>
      </c>
      <c r="J42" s="178"/>
      <c r="K42" s="178"/>
      <c r="L42" s="178"/>
      <c r="M42" s="178"/>
      <c r="N42" s="178"/>
      <c r="O42" s="178"/>
      <c r="P42" s="178"/>
      <c r="Q42" s="179"/>
    </row>
    <row r="43" spans="1:17" s="50" customFormat="1" ht="25" customHeight="1">
      <c r="A43" s="269" t="s">
        <v>405</v>
      </c>
      <c r="B43" s="300" t="s">
        <v>633</v>
      </c>
      <c r="C43" s="272">
        <v>2</v>
      </c>
      <c r="D43" s="272">
        <v>1</v>
      </c>
      <c r="E43" s="272">
        <v>5</v>
      </c>
      <c r="F43" s="180">
        <f t="shared" si="2"/>
        <v>165</v>
      </c>
      <c r="G43" s="175">
        <v>50</v>
      </c>
      <c r="H43" s="175">
        <f t="shared" si="0"/>
        <v>500</v>
      </c>
      <c r="I43" s="177">
        <f t="shared" si="1"/>
        <v>165</v>
      </c>
      <c r="J43" s="178"/>
      <c r="K43" s="178"/>
      <c r="L43" s="178"/>
      <c r="M43" s="178"/>
      <c r="N43" s="178"/>
      <c r="O43" s="178"/>
      <c r="P43" s="178"/>
      <c r="Q43" s="179"/>
    </row>
    <row r="44" spans="1:17" s="50" customFormat="1" ht="25" customHeight="1">
      <c r="A44" s="269" t="s">
        <v>634</v>
      </c>
      <c r="B44" s="304" t="s">
        <v>635</v>
      </c>
      <c r="C44" s="305">
        <v>3</v>
      </c>
      <c r="D44" s="272">
        <v>1</v>
      </c>
      <c r="E44" s="272">
        <v>4</v>
      </c>
      <c r="F44" s="180">
        <f t="shared" si="2"/>
        <v>198</v>
      </c>
      <c r="G44" s="182">
        <v>40</v>
      </c>
      <c r="H44" s="175">
        <f t="shared" si="0"/>
        <v>480</v>
      </c>
      <c r="I44" s="177">
        <f t="shared" si="1"/>
        <v>198</v>
      </c>
      <c r="J44" s="178"/>
      <c r="K44" s="178"/>
      <c r="L44" s="178"/>
      <c r="M44" s="178"/>
      <c r="N44" s="178"/>
      <c r="O44" s="178"/>
      <c r="P44" s="178"/>
      <c r="Q44" s="179"/>
    </row>
    <row r="45" spans="1:17" s="50" customFormat="1" ht="25" customHeight="1">
      <c r="A45" s="269" t="s">
        <v>636</v>
      </c>
      <c r="B45" s="306" t="s">
        <v>637</v>
      </c>
      <c r="C45" s="272">
        <v>5</v>
      </c>
      <c r="D45" s="272">
        <v>1</v>
      </c>
      <c r="E45" s="272">
        <v>4</v>
      </c>
      <c r="F45" s="180">
        <f t="shared" si="2"/>
        <v>330</v>
      </c>
      <c r="G45" s="175">
        <v>0</v>
      </c>
      <c r="H45" s="175">
        <v>0</v>
      </c>
      <c r="I45" s="177">
        <f t="shared" si="1"/>
        <v>330</v>
      </c>
      <c r="J45" s="178"/>
      <c r="K45" s="178"/>
      <c r="L45" s="178"/>
      <c r="M45" s="178"/>
      <c r="N45" s="178"/>
      <c r="O45" s="178"/>
      <c r="P45" s="178"/>
      <c r="Q45" s="179"/>
    </row>
    <row r="46" spans="1:17" s="50" customFormat="1" ht="25" customHeight="1">
      <c r="A46" s="269" t="s">
        <v>638</v>
      </c>
      <c r="B46" s="306" t="s">
        <v>259</v>
      </c>
      <c r="C46" s="305">
        <v>4</v>
      </c>
      <c r="D46" s="272">
        <v>1</v>
      </c>
      <c r="E46" s="272">
        <v>4</v>
      </c>
      <c r="F46" s="180">
        <f t="shared" si="2"/>
        <v>160</v>
      </c>
      <c r="G46" s="184">
        <v>20</v>
      </c>
      <c r="H46" s="175">
        <f>C46*D46*E46*G46</f>
        <v>320</v>
      </c>
      <c r="I46" s="177">
        <f>E46*G46*2</f>
        <v>160</v>
      </c>
      <c r="J46" s="178"/>
      <c r="K46" s="178"/>
      <c r="L46" s="178"/>
      <c r="M46" s="178"/>
      <c r="N46" s="178"/>
      <c r="O46" s="178"/>
      <c r="P46" s="178"/>
      <c r="Q46" s="179"/>
    </row>
    <row r="47" spans="1:17" s="50" customFormat="1" ht="25" customHeight="1">
      <c r="A47" s="269" t="s">
        <v>639</v>
      </c>
      <c r="B47" s="307" t="s">
        <v>256</v>
      </c>
      <c r="C47" s="305">
        <v>2</v>
      </c>
      <c r="D47" s="272">
        <v>1</v>
      </c>
      <c r="E47" s="272">
        <v>2</v>
      </c>
      <c r="F47" s="175"/>
      <c r="G47" s="175"/>
      <c r="H47" s="175"/>
      <c r="I47" s="178"/>
      <c r="J47" s="178"/>
      <c r="K47" s="178"/>
      <c r="L47" s="178"/>
      <c r="M47" s="178"/>
      <c r="N47" s="178"/>
      <c r="O47" s="178"/>
      <c r="P47" s="178"/>
      <c r="Q47" s="179"/>
    </row>
    <row r="48" spans="1:17" s="50" customFormat="1" ht="25" customHeight="1">
      <c r="A48" s="269" t="s">
        <v>640</v>
      </c>
      <c r="B48" s="307" t="s">
        <v>255</v>
      </c>
      <c r="C48" s="305">
        <v>2</v>
      </c>
      <c r="D48" s="272">
        <v>1</v>
      </c>
      <c r="E48" s="272">
        <v>2</v>
      </c>
      <c r="F48" s="175">
        <f>SUM(F12:F47)</f>
        <v>5781.55</v>
      </c>
      <c r="G48" s="172">
        <f>SUM(G12:G47)</f>
        <v>1761</v>
      </c>
      <c r="H48" s="172">
        <f>SUM(H12:H47)</f>
        <v>16353.8</v>
      </c>
      <c r="I48" s="172">
        <f>SUM(I12:I47)</f>
        <v>5781.55</v>
      </c>
      <c r="J48" s="178">
        <v>0</v>
      </c>
      <c r="K48" s="178">
        <v>0</v>
      </c>
      <c r="L48" s="178"/>
      <c r="M48" s="178"/>
      <c r="N48" s="178"/>
      <c r="O48" s="178"/>
      <c r="P48" s="178"/>
      <c r="Q48" s="179"/>
    </row>
    <row r="49" spans="1:17" s="50" customFormat="1" ht="25" customHeight="1">
      <c r="A49" s="269" t="s">
        <v>641</v>
      </c>
      <c r="B49" s="308" t="s">
        <v>642</v>
      </c>
      <c r="C49" s="305">
        <v>1</v>
      </c>
      <c r="D49" s="272">
        <v>1.4</v>
      </c>
      <c r="E49" s="272">
        <v>14</v>
      </c>
      <c r="F49" s="175"/>
      <c r="G49" s="175"/>
      <c r="H49" s="175"/>
      <c r="I49" s="175"/>
      <c r="J49" s="178"/>
      <c r="K49" s="178"/>
      <c r="L49" s="178"/>
      <c r="M49" s="178"/>
      <c r="N49" s="178"/>
      <c r="O49" s="178"/>
      <c r="P49" s="178"/>
      <c r="Q49" s="179"/>
    </row>
    <row r="50" spans="1:17" s="50" customFormat="1" ht="25" customHeight="1">
      <c r="A50" s="269" t="s">
        <v>643</v>
      </c>
      <c r="B50" s="309" t="s">
        <v>408</v>
      </c>
      <c r="C50" s="310">
        <v>1</v>
      </c>
      <c r="D50" s="310">
        <v>1.4</v>
      </c>
      <c r="E50" s="310">
        <v>2</v>
      </c>
      <c r="F50" s="175"/>
      <c r="G50" s="175"/>
      <c r="H50" s="175"/>
      <c r="I50" s="175"/>
      <c r="J50" s="178">
        <v>10</v>
      </c>
      <c r="K50" s="178"/>
      <c r="L50" s="178"/>
      <c r="M50" s="178"/>
      <c r="N50" s="178"/>
      <c r="O50" s="178"/>
      <c r="P50" s="178"/>
      <c r="Q50" s="1872" t="s">
        <v>520</v>
      </c>
    </row>
    <row r="51" spans="1:17" s="50" customFormat="1" ht="25" customHeight="1">
      <c r="A51" s="311" t="s">
        <v>146</v>
      </c>
      <c r="B51" s="312" t="s">
        <v>149</v>
      </c>
      <c r="C51" s="272">
        <v>0</v>
      </c>
      <c r="D51" s="272">
        <v>0</v>
      </c>
      <c r="E51" s="272">
        <v>0</v>
      </c>
      <c r="F51" s="175"/>
      <c r="G51" s="175"/>
      <c r="H51" s="175"/>
      <c r="I51" s="175"/>
      <c r="J51" s="178">
        <v>15</v>
      </c>
      <c r="K51" s="178"/>
      <c r="L51" s="178"/>
      <c r="M51" s="178"/>
      <c r="N51" s="178"/>
      <c r="O51" s="178"/>
      <c r="P51" s="178"/>
      <c r="Q51" s="1872"/>
    </row>
    <row r="52" spans="1:17" s="50" customFormat="1" ht="25" customHeight="1">
      <c r="A52" s="313" t="s">
        <v>230</v>
      </c>
      <c r="B52" s="269" t="s">
        <v>154</v>
      </c>
      <c r="C52" s="272">
        <v>4</v>
      </c>
      <c r="D52" s="272">
        <v>1.4</v>
      </c>
      <c r="E52" s="272">
        <v>4</v>
      </c>
      <c r="F52" s="175"/>
      <c r="G52" s="175"/>
      <c r="H52" s="175"/>
      <c r="I52" s="175"/>
      <c r="J52" s="178">
        <v>5</v>
      </c>
      <c r="K52" s="178"/>
      <c r="L52" s="178"/>
      <c r="M52" s="178"/>
      <c r="N52" s="178"/>
      <c r="O52" s="178"/>
      <c r="P52" s="178"/>
      <c r="Q52" s="1872"/>
    </row>
    <row r="53" spans="1:17" s="50" customFormat="1" ht="25" customHeight="1">
      <c r="A53" s="313" t="s">
        <v>231</v>
      </c>
      <c r="B53" s="269" t="s">
        <v>155</v>
      </c>
      <c r="C53" s="272"/>
      <c r="D53" s="272"/>
      <c r="E53" s="272"/>
      <c r="F53" s="175"/>
      <c r="G53" s="175"/>
      <c r="H53" s="175"/>
      <c r="I53" s="178"/>
      <c r="J53" s="178"/>
      <c r="K53" s="178"/>
      <c r="L53" s="178"/>
      <c r="M53" s="178"/>
      <c r="N53" s="178"/>
      <c r="O53" s="178"/>
      <c r="P53" s="178"/>
      <c r="Q53" s="179"/>
    </row>
    <row r="54" spans="1:17" s="50" customFormat="1" ht="25" customHeight="1">
      <c r="A54" s="313"/>
      <c r="B54" s="314" t="s">
        <v>350</v>
      </c>
      <c r="C54" s="315">
        <f>SUM(C12:C53)</f>
        <v>107</v>
      </c>
      <c r="D54" s="315">
        <f>SUM(D12:D53)</f>
        <v>43.659999999999989</v>
      </c>
      <c r="E54" s="315">
        <f>SUM(E12:E53)</f>
        <v>146</v>
      </c>
      <c r="F54" s="175"/>
      <c r="G54" s="175"/>
      <c r="H54" s="175"/>
      <c r="I54" s="178"/>
      <c r="J54" s="178"/>
      <c r="K54" s="178"/>
      <c r="L54" s="178"/>
      <c r="M54" s="178"/>
      <c r="N54" s="178"/>
      <c r="O54" s="178"/>
      <c r="P54" s="178"/>
      <c r="Q54" s="179"/>
    </row>
    <row r="55" spans="1:17" s="50" customFormat="1" ht="25" customHeight="1">
      <c r="A55" s="311"/>
      <c r="B55" s="314" t="s">
        <v>516</v>
      </c>
      <c r="C55" s="272"/>
      <c r="D55" s="272"/>
      <c r="E55" s="272"/>
      <c r="F55" s="180">
        <f t="shared" ref="F55:F62" si="3">I55+J55+K55</f>
        <v>0</v>
      </c>
      <c r="G55" s="175">
        <v>10</v>
      </c>
      <c r="H55" s="175">
        <f t="shared" ref="H55:H60" si="4">C55*D55*E55*G55</f>
        <v>0</v>
      </c>
      <c r="I55" s="177">
        <f t="shared" ref="I55:I60" si="5">IF(G55&lt;70, C55*E55*16.5*1.5, C55*E55*16.5*1.5)</f>
        <v>0</v>
      </c>
      <c r="J55" s="178"/>
      <c r="K55" s="178"/>
      <c r="L55" s="178"/>
      <c r="M55" s="178"/>
      <c r="N55" s="178"/>
      <c r="O55" s="178"/>
      <c r="P55" s="178"/>
      <c r="Q55" s="179"/>
    </row>
    <row r="56" spans="1:17" s="50" customFormat="1" ht="25" customHeight="1">
      <c r="A56" s="313" t="s">
        <v>523</v>
      </c>
      <c r="B56" s="269" t="s">
        <v>517</v>
      </c>
      <c r="C56" s="272">
        <v>5</v>
      </c>
      <c r="D56" s="272"/>
      <c r="E56" s="272">
        <v>2</v>
      </c>
      <c r="F56" s="180">
        <f t="shared" si="3"/>
        <v>247.5</v>
      </c>
      <c r="G56" s="175">
        <v>10</v>
      </c>
      <c r="H56" s="175">
        <f t="shared" si="4"/>
        <v>0</v>
      </c>
      <c r="I56" s="177">
        <f t="shared" si="5"/>
        <v>247.5</v>
      </c>
      <c r="J56" s="178"/>
      <c r="K56" s="178"/>
      <c r="L56" s="178"/>
      <c r="M56" s="178"/>
      <c r="N56" s="178"/>
      <c r="O56" s="178"/>
      <c r="P56" s="178"/>
      <c r="Q56" s="179"/>
    </row>
    <row r="57" spans="1:17" s="50" customFormat="1" ht="25" customHeight="1">
      <c r="A57" s="313" t="s">
        <v>524</v>
      </c>
      <c r="B57" s="269" t="s">
        <v>518</v>
      </c>
      <c r="C57" s="272">
        <v>5</v>
      </c>
      <c r="D57" s="272"/>
      <c r="E57" s="272">
        <v>3</v>
      </c>
      <c r="F57" s="180">
        <f t="shared" si="3"/>
        <v>371.25</v>
      </c>
      <c r="G57" s="175">
        <v>10</v>
      </c>
      <c r="H57" s="175">
        <f t="shared" si="4"/>
        <v>0</v>
      </c>
      <c r="I57" s="177">
        <f t="shared" si="5"/>
        <v>371.25</v>
      </c>
      <c r="J57" s="178"/>
      <c r="K57" s="178"/>
      <c r="L57" s="178"/>
      <c r="M57" s="178"/>
      <c r="N57" s="178"/>
      <c r="O57" s="178"/>
      <c r="P57" s="178"/>
      <c r="Q57" s="179"/>
    </row>
    <row r="58" spans="1:17" s="50" customFormat="1" ht="25" customHeight="1">
      <c r="A58" s="313" t="s">
        <v>525</v>
      </c>
      <c r="B58" s="296" t="s">
        <v>519</v>
      </c>
      <c r="C58" s="272">
        <v>4</v>
      </c>
      <c r="D58" s="272"/>
      <c r="E58" s="272">
        <v>1</v>
      </c>
      <c r="F58" s="180">
        <f t="shared" si="3"/>
        <v>99</v>
      </c>
      <c r="G58" s="175">
        <v>10</v>
      </c>
      <c r="H58" s="175">
        <f t="shared" si="4"/>
        <v>0</v>
      </c>
      <c r="I58" s="177">
        <f t="shared" si="5"/>
        <v>99</v>
      </c>
      <c r="J58" s="178"/>
      <c r="K58" s="178"/>
      <c r="L58" s="178"/>
      <c r="M58" s="178"/>
      <c r="N58" s="178"/>
      <c r="O58" s="178"/>
      <c r="P58" s="178"/>
      <c r="Q58" s="179"/>
    </row>
    <row r="59" spans="1:17" s="50" customFormat="1" ht="25" customHeight="1">
      <c r="A59" s="316">
        <v>2</v>
      </c>
      <c r="B59" s="316" t="s">
        <v>162</v>
      </c>
      <c r="C59" s="272"/>
      <c r="D59" s="272"/>
      <c r="E59" s="272"/>
      <c r="F59" s="180">
        <f t="shared" si="3"/>
        <v>0</v>
      </c>
      <c r="G59" s="175">
        <v>10</v>
      </c>
      <c r="H59" s="175">
        <f t="shared" si="4"/>
        <v>0</v>
      </c>
      <c r="I59" s="177">
        <f t="shared" si="5"/>
        <v>0</v>
      </c>
      <c r="J59" s="178"/>
      <c r="K59" s="178"/>
      <c r="L59" s="178"/>
      <c r="M59" s="178"/>
      <c r="N59" s="178"/>
      <c r="O59" s="178"/>
      <c r="P59" s="178"/>
      <c r="Q59" s="179"/>
    </row>
    <row r="60" spans="1:17" s="50" customFormat="1" ht="25" customHeight="1">
      <c r="A60" s="317" t="s">
        <v>145</v>
      </c>
      <c r="B60" s="318" t="s">
        <v>163</v>
      </c>
      <c r="C60" s="272"/>
      <c r="D60" s="272"/>
      <c r="E60" s="272"/>
      <c r="F60" s="180">
        <f t="shared" si="3"/>
        <v>0</v>
      </c>
      <c r="G60" s="175">
        <v>15</v>
      </c>
      <c r="H60" s="175">
        <f t="shared" si="4"/>
        <v>0</v>
      </c>
      <c r="I60" s="177">
        <f t="shared" si="5"/>
        <v>0</v>
      </c>
      <c r="J60" s="178"/>
      <c r="K60" s="178"/>
      <c r="L60" s="178"/>
      <c r="M60" s="178"/>
      <c r="N60" s="178"/>
      <c r="O60" s="178"/>
      <c r="P60" s="178"/>
      <c r="Q60" s="179"/>
    </row>
    <row r="61" spans="1:17" s="50" customFormat="1" ht="25" customHeight="1">
      <c r="A61" s="269" t="s">
        <v>224</v>
      </c>
      <c r="B61" s="270" t="s">
        <v>267</v>
      </c>
      <c r="C61" s="272">
        <v>3</v>
      </c>
      <c r="D61" s="272">
        <v>1</v>
      </c>
      <c r="E61" s="272">
        <v>1</v>
      </c>
      <c r="F61" s="180">
        <f t="shared" si="3"/>
        <v>49.5</v>
      </c>
      <c r="G61" s="186"/>
      <c r="H61" s="186"/>
      <c r="I61" s="177">
        <f>IF(G61&lt;70, C61*E61*16.5*1, C61*E61*16.5*1.3)</f>
        <v>49.5</v>
      </c>
      <c r="J61" s="178"/>
      <c r="K61" s="178"/>
      <c r="L61" s="178"/>
      <c r="M61" s="178"/>
      <c r="N61" s="178"/>
      <c r="O61" s="178"/>
      <c r="P61" s="178"/>
      <c r="Q61" s="179"/>
    </row>
    <row r="62" spans="1:17" s="50" customFormat="1" ht="25" customHeight="1">
      <c r="A62" s="269" t="s">
        <v>225</v>
      </c>
      <c r="B62" s="270" t="s">
        <v>268</v>
      </c>
      <c r="C62" s="272">
        <v>3</v>
      </c>
      <c r="D62" s="272">
        <v>1</v>
      </c>
      <c r="E62" s="272">
        <v>1</v>
      </c>
      <c r="F62" s="180">
        <f t="shared" si="3"/>
        <v>385</v>
      </c>
      <c r="G62" s="186">
        <v>11</v>
      </c>
      <c r="H62" s="175">
        <f>C62*G62*D62</f>
        <v>33</v>
      </c>
      <c r="I62" s="177">
        <f>11*35</f>
        <v>385</v>
      </c>
      <c r="J62" s="178"/>
      <c r="K62" s="178"/>
      <c r="L62" s="178"/>
      <c r="M62" s="178"/>
      <c r="N62" s="178"/>
      <c r="O62" s="178"/>
      <c r="P62" s="178"/>
      <c r="Q62" s="179"/>
    </row>
    <row r="63" spans="1:17" s="50" customFormat="1" ht="25" customHeight="1">
      <c r="A63" s="269" t="s">
        <v>226</v>
      </c>
      <c r="B63" s="270" t="s">
        <v>269</v>
      </c>
      <c r="C63" s="272">
        <v>3</v>
      </c>
      <c r="D63" s="272">
        <v>1</v>
      </c>
      <c r="E63" s="272">
        <v>1</v>
      </c>
      <c r="F63" s="175">
        <f>SUM(F55:F62)</f>
        <v>1152.25</v>
      </c>
      <c r="G63" s="172">
        <f>SUM(G55:G62)</f>
        <v>76</v>
      </c>
      <c r="H63" s="172">
        <f>SUM(H55:H62)</f>
        <v>33</v>
      </c>
      <c r="I63" s="172">
        <f>SUM(I55:I62)</f>
        <v>1152.25</v>
      </c>
      <c r="J63" s="178"/>
      <c r="K63" s="178"/>
      <c r="L63" s="178"/>
      <c r="M63" s="178"/>
      <c r="N63" s="178"/>
      <c r="O63" s="178"/>
      <c r="P63" s="178"/>
      <c r="Q63" s="179"/>
    </row>
    <row r="64" spans="1:17" s="50" customFormat="1" ht="25" customHeight="1">
      <c r="A64" s="269" t="s">
        <v>227</v>
      </c>
      <c r="B64" s="270" t="s">
        <v>270</v>
      </c>
      <c r="C64" s="272">
        <v>3</v>
      </c>
      <c r="D64" s="272">
        <v>1</v>
      </c>
      <c r="E64" s="272">
        <v>1</v>
      </c>
      <c r="F64" s="175">
        <v>0</v>
      </c>
      <c r="G64" s="175">
        <v>0</v>
      </c>
      <c r="H64" s="175">
        <v>0</v>
      </c>
      <c r="I64" s="175">
        <v>0</v>
      </c>
      <c r="J64" s="178"/>
      <c r="K64" s="178"/>
      <c r="L64" s="178"/>
      <c r="M64" s="178"/>
      <c r="N64" s="178"/>
      <c r="O64" s="178"/>
      <c r="P64" s="178"/>
      <c r="Q64" s="179"/>
    </row>
    <row r="65" spans="1:17" s="50" customFormat="1" ht="25" customHeight="1">
      <c r="A65" s="269" t="s">
        <v>228</v>
      </c>
      <c r="B65" s="273" t="s">
        <v>271</v>
      </c>
      <c r="C65" s="272">
        <v>3</v>
      </c>
      <c r="D65" s="272">
        <v>1</v>
      </c>
      <c r="E65" s="272">
        <v>1</v>
      </c>
      <c r="F65" s="175"/>
      <c r="G65" s="175"/>
      <c r="H65" s="175"/>
      <c r="I65" s="178"/>
      <c r="J65" s="178"/>
      <c r="K65" s="178"/>
      <c r="L65" s="178"/>
      <c r="M65" s="178"/>
      <c r="N65" s="178"/>
      <c r="O65" s="178"/>
      <c r="P65" s="178"/>
      <c r="Q65" s="179"/>
    </row>
    <row r="66" spans="1:17" s="50" customFormat="1" ht="25" customHeight="1">
      <c r="A66" s="269" t="s">
        <v>229</v>
      </c>
      <c r="B66" s="270" t="s">
        <v>522</v>
      </c>
      <c r="C66" s="272">
        <v>3</v>
      </c>
      <c r="D66" s="272">
        <v>1</v>
      </c>
      <c r="E66" s="272">
        <v>1</v>
      </c>
      <c r="F66" s="175"/>
      <c r="G66" s="175"/>
      <c r="H66" s="175"/>
      <c r="I66" s="178"/>
      <c r="J66" s="178"/>
      <c r="K66" s="178"/>
      <c r="L66" s="178"/>
      <c r="M66" s="178"/>
      <c r="N66" s="178"/>
      <c r="O66" s="178"/>
      <c r="P66" s="178"/>
      <c r="Q66" s="179"/>
    </row>
    <row r="67" spans="1:17" s="50" customFormat="1" ht="25" customHeight="1">
      <c r="A67" s="282" t="s">
        <v>146</v>
      </c>
      <c r="B67" s="283" t="s">
        <v>465</v>
      </c>
      <c r="C67" s="276"/>
      <c r="D67" s="276"/>
      <c r="E67" s="276"/>
      <c r="F67" s="175"/>
      <c r="G67" s="175"/>
      <c r="H67" s="175"/>
      <c r="I67" s="178"/>
      <c r="J67" s="178"/>
      <c r="K67" s="178"/>
      <c r="L67" s="178"/>
      <c r="M67" s="178"/>
      <c r="N67" s="178"/>
      <c r="O67" s="178"/>
      <c r="P67" s="178"/>
      <c r="Q67" s="179"/>
    </row>
    <row r="68" spans="1:17" s="50" customFormat="1" ht="25" customHeight="1">
      <c r="A68" s="282"/>
      <c r="B68" s="275" t="s">
        <v>644</v>
      </c>
      <c r="C68" s="276">
        <v>15</v>
      </c>
      <c r="D68" s="276">
        <v>1</v>
      </c>
      <c r="E68" s="276">
        <v>1</v>
      </c>
      <c r="F68" s="180">
        <f t="shared" ref="F68:F82" si="6">I68+J68+K68</f>
        <v>247.5</v>
      </c>
      <c r="G68" s="175">
        <v>40</v>
      </c>
      <c r="H68" s="175">
        <f t="shared" ref="H68:H82" si="7">C68*D68*E68*G68</f>
        <v>600</v>
      </c>
      <c r="I68" s="177">
        <f t="shared" ref="I68:I82" si="8">IF(G68&lt;70, C68*E68*16.5*1, C68*E68*16.5*1.3)</f>
        <v>247.5</v>
      </c>
      <c r="J68" s="178"/>
      <c r="K68" s="178"/>
      <c r="L68" s="178"/>
      <c r="M68" s="178"/>
      <c r="N68" s="178"/>
      <c r="O68" s="178"/>
      <c r="P68" s="178"/>
      <c r="Q68" s="179"/>
    </row>
    <row r="69" spans="1:17" s="50" customFormat="1" ht="25" customHeight="1">
      <c r="A69" s="269"/>
      <c r="B69" s="314" t="s">
        <v>350</v>
      </c>
      <c r="C69" s="315">
        <f>SUM(C61:C68)</f>
        <v>33</v>
      </c>
      <c r="D69" s="315">
        <f>SUM(D61:D68)</f>
        <v>7</v>
      </c>
      <c r="E69" s="315">
        <f>SUM(E61:E68)</f>
        <v>7</v>
      </c>
      <c r="F69" s="180">
        <f t="shared" si="6"/>
        <v>3811.5</v>
      </c>
      <c r="G69" s="175">
        <v>40</v>
      </c>
      <c r="H69" s="175">
        <f t="shared" si="7"/>
        <v>64680</v>
      </c>
      <c r="I69" s="177">
        <f t="shared" si="8"/>
        <v>3811.5</v>
      </c>
      <c r="J69" s="178"/>
      <c r="K69" s="178"/>
      <c r="L69" s="178"/>
      <c r="M69" s="178"/>
      <c r="N69" s="178"/>
      <c r="O69" s="178"/>
      <c r="P69" s="178"/>
      <c r="Q69" s="179"/>
    </row>
    <row r="70" spans="1:17" s="50" customFormat="1" ht="25" customHeight="1">
      <c r="A70" s="316">
        <v>3</v>
      </c>
      <c r="B70" s="316" t="s">
        <v>164</v>
      </c>
      <c r="C70" s="272">
        <v>0</v>
      </c>
      <c r="D70" s="272">
        <v>0</v>
      </c>
      <c r="E70" s="272">
        <v>0</v>
      </c>
      <c r="F70" s="180">
        <f t="shared" si="6"/>
        <v>0</v>
      </c>
      <c r="G70" s="175">
        <v>40</v>
      </c>
      <c r="H70" s="175">
        <f t="shared" si="7"/>
        <v>0</v>
      </c>
      <c r="I70" s="177">
        <f t="shared" si="8"/>
        <v>0</v>
      </c>
      <c r="J70" s="178"/>
      <c r="K70" s="178"/>
      <c r="L70" s="178"/>
      <c r="M70" s="178"/>
      <c r="N70" s="178"/>
      <c r="O70" s="178"/>
      <c r="P70" s="178"/>
      <c r="Q70" s="179"/>
    </row>
    <row r="71" spans="1:17" s="50" customFormat="1" ht="25" customHeight="1">
      <c r="A71" s="316" t="s">
        <v>7</v>
      </c>
      <c r="B71" s="316" t="s">
        <v>222</v>
      </c>
      <c r="C71" s="272"/>
      <c r="D71" s="272"/>
      <c r="E71" s="272"/>
      <c r="F71" s="180">
        <f t="shared" si="6"/>
        <v>0</v>
      </c>
      <c r="G71" s="175">
        <v>40</v>
      </c>
      <c r="H71" s="175">
        <f t="shared" si="7"/>
        <v>0</v>
      </c>
      <c r="I71" s="177">
        <f t="shared" si="8"/>
        <v>0</v>
      </c>
      <c r="J71" s="178"/>
      <c r="K71" s="178"/>
      <c r="L71" s="178"/>
      <c r="M71" s="178"/>
      <c r="N71" s="178"/>
      <c r="O71" s="178"/>
      <c r="P71" s="178"/>
      <c r="Q71" s="179"/>
    </row>
    <row r="72" spans="1:17" s="50" customFormat="1" ht="25" customHeight="1">
      <c r="A72" s="316">
        <v>1</v>
      </c>
      <c r="B72" s="318" t="s">
        <v>223</v>
      </c>
      <c r="C72" s="272"/>
      <c r="D72" s="272"/>
      <c r="E72" s="272"/>
      <c r="F72" s="180">
        <f t="shared" si="6"/>
        <v>0</v>
      </c>
      <c r="G72" s="175">
        <v>40</v>
      </c>
      <c r="H72" s="175">
        <f t="shared" si="7"/>
        <v>0</v>
      </c>
      <c r="I72" s="177">
        <f t="shared" si="8"/>
        <v>0</v>
      </c>
      <c r="J72" s="178"/>
      <c r="K72" s="178"/>
      <c r="L72" s="178"/>
      <c r="M72" s="178"/>
      <c r="N72" s="178"/>
      <c r="O72" s="178"/>
      <c r="P72" s="178"/>
      <c r="Q72" s="179"/>
    </row>
    <row r="73" spans="1:17" s="50" customFormat="1" ht="25" customHeight="1">
      <c r="A73" s="316" t="s">
        <v>145</v>
      </c>
      <c r="B73" s="318" t="s">
        <v>161</v>
      </c>
      <c r="C73" s="272"/>
      <c r="D73" s="272"/>
      <c r="E73" s="272"/>
      <c r="F73" s="180">
        <f t="shared" si="6"/>
        <v>0</v>
      </c>
      <c r="G73" s="175">
        <v>40</v>
      </c>
      <c r="H73" s="175">
        <f t="shared" si="7"/>
        <v>0</v>
      </c>
      <c r="I73" s="177">
        <f t="shared" si="8"/>
        <v>0</v>
      </c>
      <c r="J73" s="178"/>
      <c r="K73" s="178"/>
      <c r="L73" s="178"/>
      <c r="M73" s="178"/>
      <c r="N73" s="178"/>
      <c r="O73" s="178"/>
      <c r="P73" s="178"/>
      <c r="Q73" s="179"/>
    </row>
    <row r="74" spans="1:17" s="50" customFormat="1" ht="25" customHeight="1">
      <c r="A74" s="313" t="s">
        <v>224</v>
      </c>
      <c r="B74" s="273" t="s">
        <v>264</v>
      </c>
      <c r="C74" s="272">
        <v>3</v>
      </c>
      <c r="D74" s="272">
        <v>1</v>
      </c>
      <c r="E74" s="272">
        <v>3</v>
      </c>
      <c r="F74" s="180">
        <f t="shared" si="6"/>
        <v>148.5</v>
      </c>
      <c r="G74" s="175">
        <v>40</v>
      </c>
      <c r="H74" s="175">
        <f t="shared" si="7"/>
        <v>360</v>
      </c>
      <c r="I74" s="177">
        <f t="shared" si="8"/>
        <v>148.5</v>
      </c>
      <c r="J74" s="178"/>
      <c r="K74" s="178"/>
      <c r="L74" s="178"/>
      <c r="M74" s="178"/>
      <c r="N74" s="178"/>
      <c r="O74" s="178"/>
      <c r="P74" s="178"/>
      <c r="Q74" s="179"/>
    </row>
    <row r="75" spans="1:17" s="50" customFormat="1" ht="25" customHeight="1">
      <c r="A75" s="313" t="s">
        <v>225</v>
      </c>
      <c r="B75" s="273" t="s">
        <v>272</v>
      </c>
      <c r="C75" s="272">
        <v>5</v>
      </c>
      <c r="D75" s="272">
        <v>1</v>
      </c>
      <c r="E75" s="272">
        <v>3</v>
      </c>
      <c r="F75" s="180">
        <f t="shared" si="6"/>
        <v>247.5</v>
      </c>
      <c r="G75" s="175">
        <v>40</v>
      </c>
      <c r="H75" s="175">
        <f t="shared" si="7"/>
        <v>600</v>
      </c>
      <c r="I75" s="177">
        <f t="shared" si="8"/>
        <v>247.5</v>
      </c>
      <c r="J75" s="178"/>
      <c r="K75" s="178"/>
      <c r="L75" s="178"/>
      <c r="M75" s="178"/>
      <c r="N75" s="178"/>
      <c r="O75" s="178"/>
      <c r="P75" s="178"/>
      <c r="Q75" s="179"/>
    </row>
    <row r="76" spans="1:17" s="50" customFormat="1" ht="25" customHeight="1">
      <c r="A76" s="313" t="s">
        <v>226</v>
      </c>
      <c r="B76" s="273" t="s">
        <v>273</v>
      </c>
      <c r="C76" s="272">
        <v>3</v>
      </c>
      <c r="D76" s="272">
        <v>1</v>
      </c>
      <c r="E76" s="272">
        <v>3</v>
      </c>
      <c r="F76" s="180">
        <f t="shared" si="6"/>
        <v>148.5</v>
      </c>
      <c r="G76" s="175">
        <v>40</v>
      </c>
      <c r="H76" s="175">
        <f t="shared" si="7"/>
        <v>360</v>
      </c>
      <c r="I76" s="177">
        <f t="shared" si="8"/>
        <v>148.5</v>
      </c>
      <c r="J76" s="178"/>
      <c r="K76" s="178"/>
      <c r="L76" s="178"/>
      <c r="M76" s="178"/>
      <c r="N76" s="178"/>
      <c r="O76" s="178"/>
      <c r="P76" s="178"/>
      <c r="Q76" s="179"/>
    </row>
    <row r="77" spans="1:17" s="50" customFormat="1" ht="25" customHeight="1">
      <c r="A77" s="313" t="s">
        <v>227</v>
      </c>
      <c r="B77" s="273" t="s">
        <v>274</v>
      </c>
      <c r="C77" s="272">
        <v>2</v>
      </c>
      <c r="D77" s="272">
        <v>1</v>
      </c>
      <c r="E77" s="272">
        <v>3</v>
      </c>
      <c r="F77" s="180">
        <f t="shared" si="6"/>
        <v>99</v>
      </c>
      <c r="G77" s="175">
        <v>40</v>
      </c>
      <c r="H77" s="175">
        <f t="shared" si="7"/>
        <v>240</v>
      </c>
      <c r="I77" s="177">
        <f t="shared" si="8"/>
        <v>99</v>
      </c>
      <c r="J77" s="178"/>
      <c r="K77" s="178"/>
      <c r="L77" s="178"/>
      <c r="M77" s="178"/>
      <c r="N77" s="178"/>
      <c r="O77" s="178"/>
      <c r="P77" s="178"/>
      <c r="Q77" s="179"/>
    </row>
    <row r="78" spans="1:17" s="50" customFormat="1" ht="25" customHeight="1">
      <c r="A78" s="313" t="s">
        <v>228</v>
      </c>
      <c r="B78" s="273" t="s">
        <v>275</v>
      </c>
      <c r="C78" s="272">
        <v>2</v>
      </c>
      <c r="D78" s="272">
        <v>1</v>
      </c>
      <c r="E78" s="272">
        <v>3</v>
      </c>
      <c r="F78" s="180">
        <f t="shared" si="6"/>
        <v>99</v>
      </c>
      <c r="G78" s="175">
        <v>40</v>
      </c>
      <c r="H78" s="175">
        <f t="shared" si="7"/>
        <v>240</v>
      </c>
      <c r="I78" s="177">
        <f t="shared" si="8"/>
        <v>99</v>
      </c>
      <c r="J78" s="178"/>
      <c r="K78" s="178"/>
      <c r="L78" s="178"/>
      <c r="M78" s="178"/>
      <c r="N78" s="178"/>
      <c r="O78" s="178"/>
      <c r="P78" s="178"/>
      <c r="Q78" s="179"/>
    </row>
    <row r="79" spans="1:17" s="50" customFormat="1" ht="25" customHeight="1">
      <c r="A79" s="313" t="s">
        <v>229</v>
      </c>
      <c r="B79" s="273" t="s">
        <v>276</v>
      </c>
      <c r="C79" s="272">
        <v>5</v>
      </c>
      <c r="D79" s="272">
        <v>1</v>
      </c>
      <c r="E79" s="272">
        <v>3</v>
      </c>
      <c r="F79" s="180">
        <f t="shared" si="6"/>
        <v>247.5</v>
      </c>
      <c r="G79" s="175">
        <v>40</v>
      </c>
      <c r="H79" s="175">
        <f t="shared" si="7"/>
        <v>600</v>
      </c>
      <c r="I79" s="177">
        <f t="shared" si="8"/>
        <v>247.5</v>
      </c>
      <c r="J79" s="178"/>
      <c r="K79" s="178"/>
      <c r="L79" s="178"/>
      <c r="M79" s="178"/>
      <c r="N79" s="178"/>
      <c r="O79" s="178"/>
      <c r="P79" s="178"/>
      <c r="Q79" s="179"/>
    </row>
    <row r="80" spans="1:17" s="50" customFormat="1" ht="25" customHeight="1">
      <c r="A80" s="313" t="s">
        <v>280</v>
      </c>
      <c r="B80" s="273" t="s">
        <v>277</v>
      </c>
      <c r="C80" s="272">
        <v>2</v>
      </c>
      <c r="D80" s="272">
        <v>1</v>
      </c>
      <c r="E80" s="272">
        <v>3</v>
      </c>
      <c r="F80" s="180">
        <f t="shared" si="6"/>
        <v>99</v>
      </c>
      <c r="G80" s="175">
        <v>40</v>
      </c>
      <c r="H80" s="175">
        <f t="shared" si="7"/>
        <v>240</v>
      </c>
      <c r="I80" s="177">
        <f t="shared" si="8"/>
        <v>99</v>
      </c>
      <c r="J80" s="178"/>
      <c r="K80" s="178"/>
      <c r="L80" s="178"/>
      <c r="M80" s="178"/>
      <c r="N80" s="178"/>
      <c r="O80" s="178"/>
      <c r="P80" s="178"/>
      <c r="Q80" s="179"/>
    </row>
    <row r="81" spans="1:17" s="50" customFormat="1" ht="25" customHeight="1">
      <c r="A81" s="313" t="s">
        <v>281</v>
      </c>
      <c r="B81" s="285" t="s">
        <v>254</v>
      </c>
      <c r="C81" s="272">
        <v>3</v>
      </c>
      <c r="D81" s="272">
        <v>1</v>
      </c>
      <c r="E81" s="272">
        <v>5</v>
      </c>
      <c r="F81" s="180">
        <f t="shared" si="6"/>
        <v>247.5</v>
      </c>
      <c r="G81" s="175">
        <v>40</v>
      </c>
      <c r="H81" s="175">
        <f t="shared" si="7"/>
        <v>600</v>
      </c>
      <c r="I81" s="177">
        <f t="shared" si="8"/>
        <v>247.5</v>
      </c>
      <c r="J81" s="178"/>
      <c r="K81" s="178"/>
      <c r="L81" s="178"/>
      <c r="M81" s="178"/>
      <c r="N81" s="178"/>
      <c r="O81" s="178"/>
      <c r="P81" s="178"/>
      <c r="Q81" s="179"/>
    </row>
    <row r="82" spans="1:17" s="50" customFormat="1" ht="25" customHeight="1">
      <c r="A82" s="313" t="s">
        <v>282</v>
      </c>
      <c r="B82" s="285" t="s">
        <v>260</v>
      </c>
      <c r="C82" s="272">
        <v>5</v>
      </c>
      <c r="D82" s="272">
        <v>1</v>
      </c>
      <c r="E82" s="272">
        <v>5</v>
      </c>
      <c r="F82" s="180">
        <f t="shared" si="6"/>
        <v>412.5</v>
      </c>
      <c r="G82" s="175">
        <v>40</v>
      </c>
      <c r="H82" s="175">
        <f t="shared" si="7"/>
        <v>1000</v>
      </c>
      <c r="I82" s="177">
        <f t="shared" si="8"/>
        <v>412.5</v>
      </c>
      <c r="J82" s="178"/>
      <c r="K82" s="178"/>
      <c r="L82" s="178"/>
      <c r="M82" s="178"/>
      <c r="N82" s="178"/>
      <c r="O82" s="178"/>
      <c r="P82" s="178"/>
      <c r="Q82" s="179"/>
    </row>
    <row r="83" spans="1:17" s="50" customFormat="1" ht="25" customHeight="1">
      <c r="A83" s="313" t="s">
        <v>283</v>
      </c>
      <c r="B83" s="285" t="s">
        <v>278</v>
      </c>
      <c r="C83" s="272">
        <v>2</v>
      </c>
      <c r="D83" s="272">
        <v>1</v>
      </c>
      <c r="E83" s="272">
        <v>5</v>
      </c>
      <c r="F83" s="175">
        <f>SUM(F68:F82)</f>
        <v>5808</v>
      </c>
      <c r="G83" s="172">
        <f>SUM(G68:G82)</f>
        <v>600</v>
      </c>
      <c r="H83" s="172">
        <f>SUM(H68:H82)</f>
        <v>69520</v>
      </c>
      <c r="I83" s="172">
        <f>SUM(I68:I82)</f>
        <v>5808</v>
      </c>
      <c r="J83" s="178"/>
      <c r="K83" s="178"/>
      <c r="L83" s="178"/>
      <c r="M83" s="178"/>
      <c r="N83" s="178"/>
      <c r="O83" s="178"/>
      <c r="P83" s="178"/>
      <c r="Q83" s="179"/>
    </row>
    <row r="84" spans="1:17" s="50" customFormat="1" ht="25" customHeight="1">
      <c r="A84" s="313" t="s">
        <v>284</v>
      </c>
      <c r="B84" s="273" t="s">
        <v>279</v>
      </c>
      <c r="C84" s="272">
        <v>5</v>
      </c>
      <c r="D84" s="272">
        <v>1</v>
      </c>
      <c r="E84" s="272">
        <v>5</v>
      </c>
      <c r="F84" s="175">
        <v>0</v>
      </c>
      <c r="G84" s="175">
        <v>0</v>
      </c>
      <c r="H84" s="175">
        <v>0</v>
      </c>
      <c r="I84" s="175">
        <v>0</v>
      </c>
      <c r="J84" s="178"/>
      <c r="K84" s="178"/>
      <c r="L84" s="178"/>
      <c r="M84" s="178"/>
      <c r="N84" s="178"/>
      <c r="O84" s="178"/>
      <c r="P84" s="178"/>
      <c r="Q84" s="179"/>
    </row>
    <row r="85" spans="1:17" s="50" customFormat="1" ht="25" customHeight="1">
      <c r="A85" s="313" t="s">
        <v>287</v>
      </c>
      <c r="B85" s="270" t="s">
        <v>285</v>
      </c>
      <c r="C85" s="272">
        <v>3</v>
      </c>
      <c r="D85" s="272">
        <v>1</v>
      </c>
      <c r="E85" s="272">
        <v>3</v>
      </c>
      <c r="F85" s="245">
        <f>F48+F63+F83</f>
        <v>12741.8</v>
      </c>
      <c r="G85" s="187">
        <f>G48+G63+G83</f>
        <v>2437</v>
      </c>
      <c r="H85" s="187">
        <f>H48+H63+H83</f>
        <v>85906.8</v>
      </c>
      <c r="I85" s="187">
        <f>I48+I63+I83</f>
        <v>12741.8</v>
      </c>
      <c r="J85" s="188">
        <v>0</v>
      </c>
      <c r="K85" s="188">
        <v>0</v>
      </c>
      <c r="L85" s="189">
        <f>'Bieu3 GDTH'!F24</f>
        <v>2632</v>
      </c>
      <c r="M85" s="190">
        <f>'Bieu3 GDTH'!N24</f>
        <v>2402.5</v>
      </c>
      <c r="N85" s="190">
        <f>I85-M85</f>
        <v>10339.299999999999</v>
      </c>
      <c r="O85" s="191">
        <f>'Bieu3 GDTH'!O24</f>
        <v>1422.25</v>
      </c>
      <c r="P85" s="191">
        <f>'Bieu3 GDTH'!P24</f>
        <v>780</v>
      </c>
      <c r="Q85" s="192"/>
    </row>
    <row r="86" spans="1:17" s="50" customFormat="1" ht="25" customHeight="1">
      <c r="A86" s="313" t="s">
        <v>288</v>
      </c>
      <c r="B86" s="270" t="s">
        <v>263</v>
      </c>
      <c r="C86" s="272">
        <v>3</v>
      </c>
      <c r="D86" s="272">
        <v>1</v>
      </c>
      <c r="E86" s="272">
        <v>3</v>
      </c>
      <c r="F86" s="290"/>
      <c r="G86" s="289"/>
      <c r="H86" s="289"/>
      <c r="I86" s="289"/>
      <c r="J86" s="291"/>
      <c r="K86" s="291"/>
      <c r="L86" s="292"/>
      <c r="M86" s="293"/>
      <c r="N86" s="293"/>
      <c r="O86" s="294"/>
      <c r="P86" s="294"/>
      <c r="Q86" s="295"/>
    </row>
    <row r="87" spans="1:17" s="50" customFormat="1" ht="25" customHeight="1">
      <c r="A87" s="313" t="s">
        <v>289</v>
      </c>
      <c r="B87" s="270" t="s">
        <v>286</v>
      </c>
      <c r="C87" s="272">
        <v>5</v>
      </c>
      <c r="D87" s="272">
        <v>1</v>
      </c>
      <c r="E87" s="272">
        <v>3</v>
      </c>
      <c r="F87" s="290"/>
      <c r="G87" s="289"/>
      <c r="H87" s="289"/>
      <c r="I87" s="289"/>
      <c r="J87" s="291"/>
      <c r="K87" s="291"/>
      <c r="L87" s="292"/>
      <c r="M87" s="293"/>
      <c r="N87" s="293"/>
      <c r="O87" s="294"/>
      <c r="P87" s="294"/>
      <c r="Q87" s="295"/>
    </row>
    <row r="88" spans="1:17" s="50" customFormat="1" ht="25" customHeight="1">
      <c r="A88" s="313" t="s">
        <v>290</v>
      </c>
      <c r="B88" s="270" t="s">
        <v>261</v>
      </c>
      <c r="C88" s="272">
        <v>3</v>
      </c>
      <c r="D88" s="272">
        <v>1</v>
      </c>
      <c r="E88" s="272">
        <v>3</v>
      </c>
      <c r="F88" s="290"/>
      <c r="G88" s="289"/>
      <c r="H88" s="289"/>
      <c r="I88" s="289"/>
      <c r="J88" s="291"/>
      <c r="K88" s="291"/>
      <c r="L88" s="292"/>
      <c r="M88" s="293"/>
      <c r="N88" s="293"/>
      <c r="O88" s="294"/>
      <c r="P88" s="294"/>
      <c r="Q88" s="295"/>
    </row>
    <row r="89" spans="1:17" s="50" customFormat="1" ht="25" customHeight="1">
      <c r="A89" s="319"/>
      <c r="B89" s="314" t="s">
        <v>350</v>
      </c>
      <c r="C89" s="315">
        <f>SUM(C74:C88)</f>
        <v>51</v>
      </c>
      <c r="D89" s="315">
        <f>SUM(D74:D88)</f>
        <v>15</v>
      </c>
      <c r="E89" s="315">
        <f>SUM(E74:E88)</f>
        <v>53</v>
      </c>
      <c r="F89" s="290"/>
      <c r="G89" s="289"/>
      <c r="H89" s="289"/>
      <c r="I89" s="289"/>
      <c r="J89" s="291"/>
      <c r="K89" s="291"/>
      <c r="L89" s="292"/>
      <c r="M89" s="293"/>
      <c r="N89" s="293"/>
      <c r="O89" s="294"/>
      <c r="P89" s="294"/>
      <c r="Q89" s="295"/>
    </row>
    <row r="90" spans="1:17" s="50" customFormat="1" ht="25" customHeight="1">
      <c r="A90" s="316">
        <v>2</v>
      </c>
      <c r="B90" s="316" t="s">
        <v>83</v>
      </c>
      <c r="C90" s="272">
        <v>0</v>
      </c>
      <c r="D90" s="272">
        <v>0</v>
      </c>
      <c r="E90" s="272">
        <v>0</v>
      </c>
      <c r="F90" s="290"/>
      <c r="G90" s="289"/>
      <c r="H90" s="289"/>
      <c r="I90" s="289"/>
      <c r="J90" s="291"/>
      <c r="K90" s="291"/>
      <c r="L90" s="292"/>
      <c r="M90" s="293"/>
      <c r="N90" s="293"/>
      <c r="O90" s="294"/>
      <c r="P90" s="294"/>
      <c r="Q90" s="295"/>
    </row>
    <row r="91" spans="1:17" s="50" customFormat="1" ht="25" customHeight="1">
      <c r="A91" s="320"/>
      <c r="B91" s="320" t="s">
        <v>369</v>
      </c>
      <c r="C91" s="321">
        <f>C54+C69+C89</f>
        <v>191</v>
      </c>
      <c r="D91" s="321">
        <f>D54+D69+D89</f>
        <v>65.66</v>
      </c>
      <c r="E91" s="321">
        <f>E54+E69+E89</f>
        <v>206</v>
      </c>
      <c r="F91" s="290"/>
      <c r="G91" s="289"/>
      <c r="H91" s="289"/>
      <c r="I91" s="289"/>
      <c r="J91" s="291"/>
      <c r="K91" s="291"/>
      <c r="L91" s="292"/>
      <c r="M91" s="293"/>
      <c r="N91" s="293"/>
      <c r="O91" s="294"/>
      <c r="P91" s="294"/>
      <c r="Q91" s="295"/>
    </row>
    <row r="92" spans="1:17" s="50" customFormat="1" ht="25" customHeight="1">
      <c r="A92" s="168" t="s">
        <v>18</v>
      </c>
      <c r="B92" s="168" t="s">
        <v>370</v>
      </c>
      <c r="C92" s="175"/>
      <c r="D92" s="175"/>
      <c r="E92" s="175"/>
      <c r="F92" s="175"/>
      <c r="G92" s="175"/>
      <c r="H92" s="175"/>
      <c r="I92" s="178"/>
      <c r="J92" s="178"/>
      <c r="K92" s="178"/>
      <c r="L92" s="178"/>
      <c r="M92" s="178"/>
      <c r="N92" s="178"/>
      <c r="O92" s="178"/>
      <c r="P92" s="178"/>
      <c r="Q92" s="179"/>
    </row>
    <row r="93" spans="1:17" s="50" customFormat="1" ht="25" customHeight="1">
      <c r="A93" s="193" t="s">
        <v>372</v>
      </c>
      <c r="B93" s="193" t="s">
        <v>373</v>
      </c>
      <c r="C93" s="175"/>
      <c r="D93" s="175"/>
      <c r="E93" s="175"/>
      <c r="F93" s="175"/>
      <c r="G93" s="175"/>
      <c r="H93" s="175"/>
      <c r="I93" s="178"/>
      <c r="J93" s="178"/>
      <c r="K93" s="178"/>
      <c r="L93" s="178"/>
      <c r="M93" s="178"/>
      <c r="N93" s="178"/>
      <c r="O93" s="178"/>
      <c r="P93" s="178"/>
      <c r="Q93" s="179"/>
    </row>
    <row r="94" spans="1:17" s="50" customFormat="1" ht="25" customHeight="1">
      <c r="A94" s="193">
        <v>1</v>
      </c>
      <c r="B94" s="193" t="s">
        <v>374</v>
      </c>
      <c r="C94" s="175"/>
      <c r="D94" s="175"/>
      <c r="E94" s="175"/>
      <c r="F94" s="175"/>
      <c r="G94" s="175"/>
      <c r="H94" s="175"/>
      <c r="I94" s="178"/>
      <c r="J94" s="178"/>
      <c r="K94" s="178"/>
      <c r="L94" s="178"/>
      <c r="M94" s="178"/>
      <c r="N94" s="178"/>
      <c r="O94" s="178"/>
      <c r="P94" s="178"/>
      <c r="Q94" s="179"/>
    </row>
    <row r="95" spans="1:17" s="50" customFormat="1" ht="25" customHeight="1">
      <c r="A95" s="194" t="s">
        <v>145</v>
      </c>
      <c r="B95" s="195" t="s">
        <v>159</v>
      </c>
      <c r="C95" s="175"/>
      <c r="D95" s="175"/>
      <c r="E95" s="175"/>
      <c r="F95" s="175"/>
      <c r="G95" s="175"/>
      <c r="H95" s="175"/>
      <c r="I95" s="178"/>
      <c r="J95" s="178"/>
      <c r="K95" s="178"/>
      <c r="L95" s="178"/>
      <c r="M95" s="178"/>
      <c r="N95" s="178"/>
      <c r="O95" s="178"/>
      <c r="P95" s="178"/>
      <c r="Q95" s="179"/>
    </row>
    <row r="96" spans="1:17" s="50" customFormat="1" ht="25" customHeight="1">
      <c r="A96" s="269" t="s">
        <v>224</v>
      </c>
      <c r="B96" s="270" t="s">
        <v>581</v>
      </c>
      <c r="C96" s="271">
        <v>3</v>
      </c>
      <c r="D96" s="271">
        <v>1</v>
      </c>
      <c r="E96" s="271">
        <v>3</v>
      </c>
      <c r="F96" s="180">
        <f t="shared" ref="F96:F119" si="9">I96+J96+K96</f>
        <v>148.5</v>
      </c>
      <c r="G96" s="196">
        <v>60</v>
      </c>
      <c r="H96" s="175">
        <f t="shared" ref="H96:H118" si="10">C96*D96*E96*G96</f>
        <v>540</v>
      </c>
      <c r="I96" s="177">
        <f t="shared" ref="I96:I110" si="11">IF(G96&lt;70, C96*E96*16.5*1, C96*E96*16.5*1.3)</f>
        <v>148.5</v>
      </c>
      <c r="J96" s="197"/>
      <c r="K96" s="197"/>
      <c r="L96" s="178"/>
      <c r="M96" s="178"/>
      <c r="N96" s="178"/>
      <c r="O96" s="178"/>
      <c r="P96" s="178"/>
      <c r="Q96" s="179"/>
    </row>
    <row r="97" spans="1:17" s="50" customFormat="1" ht="25" customHeight="1">
      <c r="A97" s="269" t="s">
        <v>225</v>
      </c>
      <c r="B97" s="270" t="s">
        <v>582</v>
      </c>
      <c r="C97" s="271">
        <v>4</v>
      </c>
      <c r="D97" s="271">
        <v>1.3</v>
      </c>
      <c r="E97" s="271">
        <v>3</v>
      </c>
      <c r="F97" s="180">
        <f t="shared" si="9"/>
        <v>257.40000000000003</v>
      </c>
      <c r="G97" s="196">
        <v>70</v>
      </c>
      <c r="H97" s="175">
        <f t="shared" si="10"/>
        <v>1092</v>
      </c>
      <c r="I97" s="177">
        <f t="shared" si="11"/>
        <v>257.40000000000003</v>
      </c>
      <c r="J97" s="197"/>
      <c r="K97" s="197"/>
      <c r="L97" s="178"/>
      <c r="M97" s="178"/>
      <c r="N97" s="178"/>
      <c r="O97" s="178"/>
      <c r="P97" s="178"/>
      <c r="Q97" s="179"/>
    </row>
    <row r="98" spans="1:17" s="50" customFormat="1" ht="25" customHeight="1">
      <c r="A98" s="269" t="s">
        <v>226</v>
      </c>
      <c r="B98" s="270" t="s">
        <v>583</v>
      </c>
      <c r="C98" s="271">
        <v>1</v>
      </c>
      <c r="D98" s="271">
        <v>1.3</v>
      </c>
      <c r="E98" s="271">
        <v>8</v>
      </c>
      <c r="F98" s="180">
        <f t="shared" si="9"/>
        <v>132</v>
      </c>
      <c r="G98" s="196">
        <v>20</v>
      </c>
      <c r="H98" s="175">
        <f t="shared" si="10"/>
        <v>208</v>
      </c>
      <c r="I98" s="177">
        <f t="shared" si="11"/>
        <v>132</v>
      </c>
      <c r="J98" s="197"/>
      <c r="K98" s="197"/>
      <c r="L98" s="178"/>
      <c r="M98" s="178"/>
      <c r="N98" s="178"/>
      <c r="O98" s="178"/>
      <c r="P98" s="178"/>
      <c r="Q98" s="179"/>
    </row>
    <row r="99" spans="1:17" s="50" customFormat="1" ht="25" customHeight="1">
      <c r="A99" s="269" t="s">
        <v>226</v>
      </c>
      <c r="B99" s="270" t="s">
        <v>584</v>
      </c>
      <c r="C99" s="271">
        <v>1</v>
      </c>
      <c r="D99" s="271">
        <v>1.3</v>
      </c>
      <c r="E99" s="271">
        <v>8</v>
      </c>
      <c r="F99" s="180">
        <f t="shared" si="9"/>
        <v>132</v>
      </c>
      <c r="G99" s="196">
        <v>20</v>
      </c>
      <c r="H99" s="175">
        <f t="shared" si="10"/>
        <v>208</v>
      </c>
      <c r="I99" s="177">
        <f t="shared" si="11"/>
        <v>132</v>
      </c>
      <c r="J99" s="197"/>
      <c r="K99" s="197"/>
      <c r="L99" s="178"/>
      <c r="M99" s="178"/>
      <c r="N99" s="178"/>
      <c r="O99" s="178"/>
      <c r="P99" s="178"/>
      <c r="Q99" s="179"/>
    </row>
    <row r="100" spans="1:17" s="50" customFormat="1" ht="25" customHeight="1">
      <c r="A100" s="269" t="s">
        <v>227</v>
      </c>
      <c r="B100" s="270" t="s">
        <v>585</v>
      </c>
      <c r="C100" s="271">
        <v>1</v>
      </c>
      <c r="D100" s="271">
        <v>1.3</v>
      </c>
      <c r="E100" s="271">
        <v>7</v>
      </c>
      <c r="F100" s="180">
        <f t="shared" si="9"/>
        <v>115.5</v>
      </c>
      <c r="G100" s="196">
        <v>60</v>
      </c>
      <c r="H100" s="175">
        <f t="shared" si="10"/>
        <v>546</v>
      </c>
      <c r="I100" s="177">
        <f t="shared" si="11"/>
        <v>115.5</v>
      </c>
      <c r="J100" s="197"/>
      <c r="K100" s="197"/>
      <c r="L100" s="178"/>
      <c r="M100" s="178"/>
      <c r="N100" s="178"/>
      <c r="O100" s="178"/>
      <c r="P100" s="178"/>
      <c r="Q100" s="179"/>
    </row>
    <row r="101" spans="1:17" s="50" customFormat="1" ht="25" customHeight="1">
      <c r="A101" s="269" t="s">
        <v>228</v>
      </c>
      <c r="B101" s="270" t="s">
        <v>380</v>
      </c>
      <c r="C101" s="271">
        <v>4</v>
      </c>
      <c r="D101" s="271">
        <v>1</v>
      </c>
      <c r="E101" s="271">
        <v>3</v>
      </c>
      <c r="F101" s="180">
        <f t="shared" si="9"/>
        <v>198</v>
      </c>
      <c r="G101" s="196">
        <v>25</v>
      </c>
      <c r="H101" s="175">
        <f t="shared" si="10"/>
        <v>300</v>
      </c>
      <c r="I101" s="177">
        <f t="shared" si="11"/>
        <v>198</v>
      </c>
      <c r="J101" s="197"/>
      <c r="K101" s="197"/>
      <c r="L101" s="178"/>
      <c r="M101" s="178"/>
      <c r="N101" s="178"/>
      <c r="O101" s="178"/>
      <c r="P101" s="178"/>
      <c r="Q101" s="179"/>
    </row>
    <row r="102" spans="1:17" s="50" customFormat="1" ht="25" customHeight="1">
      <c r="A102" s="269" t="s">
        <v>280</v>
      </c>
      <c r="B102" s="270" t="s">
        <v>586</v>
      </c>
      <c r="C102" s="271">
        <v>2</v>
      </c>
      <c r="D102" s="271">
        <v>1</v>
      </c>
      <c r="E102" s="271">
        <v>3</v>
      </c>
      <c r="F102" s="180">
        <f t="shared" si="9"/>
        <v>128.70000000000002</v>
      </c>
      <c r="G102" s="196">
        <v>70</v>
      </c>
      <c r="H102" s="175">
        <f t="shared" si="10"/>
        <v>420</v>
      </c>
      <c r="I102" s="177">
        <f t="shared" si="11"/>
        <v>128.70000000000002</v>
      </c>
      <c r="J102" s="197"/>
      <c r="K102" s="197"/>
      <c r="L102" s="178"/>
      <c r="M102" s="178"/>
      <c r="N102" s="178"/>
      <c r="O102" s="178"/>
      <c r="P102" s="178"/>
      <c r="Q102" s="179"/>
    </row>
    <row r="103" spans="1:17" s="50" customFormat="1" ht="25" customHeight="1">
      <c r="A103" s="269" t="s">
        <v>281</v>
      </c>
      <c r="B103" s="270" t="s">
        <v>587</v>
      </c>
      <c r="C103" s="271">
        <v>3</v>
      </c>
      <c r="D103" s="271">
        <v>1</v>
      </c>
      <c r="E103" s="271">
        <v>2</v>
      </c>
      <c r="F103" s="180">
        <f t="shared" si="9"/>
        <v>99</v>
      </c>
      <c r="G103" s="196">
        <v>60</v>
      </c>
      <c r="H103" s="175">
        <f t="shared" si="10"/>
        <v>360</v>
      </c>
      <c r="I103" s="177">
        <f t="shared" si="11"/>
        <v>99</v>
      </c>
      <c r="J103" s="197"/>
      <c r="K103" s="197"/>
      <c r="L103" s="178"/>
      <c r="M103" s="178"/>
      <c r="N103" s="178"/>
      <c r="O103" s="178"/>
      <c r="P103" s="178"/>
      <c r="Q103" s="179"/>
    </row>
    <row r="104" spans="1:17" s="50" customFormat="1" ht="25" customHeight="1">
      <c r="A104" s="269" t="s">
        <v>282</v>
      </c>
      <c r="B104" s="270" t="s">
        <v>588</v>
      </c>
      <c r="C104" s="271">
        <v>3</v>
      </c>
      <c r="D104" s="271">
        <v>1.1000000000000001</v>
      </c>
      <c r="E104" s="271">
        <v>3</v>
      </c>
      <c r="F104" s="180">
        <f t="shared" si="9"/>
        <v>193.05</v>
      </c>
      <c r="G104" s="196">
        <v>70</v>
      </c>
      <c r="H104" s="175">
        <f t="shared" si="10"/>
        <v>693</v>
      </c>
      <c r="I104" s="177">
        <f t="shared" si="11"/>
        <v>193.05</v>
      </c>
      <c r="J104" s="197"/>
      <c r="K104" s="197"/>
      <c r="L104" s="178"/>
      <c r="M104" s="178"/>
      <c r="N104" s="178"/>
      <c r="O104" s="178"/>
      <c r="P104" s="178"/>
      <c r="Q104" s="179"/>
    </row>
    <row r="105" spans="1:17" s="50" customFormat="1" ht="25" customHeight="1">
      <c r="A105" s="269" t="s">
        <v>283</v>
      </c>
      <c r="B105" s="270" t="s">
        <v>589</v>
      </c>
      <c r="C105" s="272">
        <v>3</v>
      </c>
      <c r="D105" s="272">
        <v>1</v>
      </c>
      <c r="E105" s="272">
        <v>2</v>
      </c>
      <c r="F105" s="180">
        <f t="shared" si="9"/>
        <v>128.70000000000002</v>
      </c>
      <c r="G105" s="198">
        <v>70</v>
      </c>
      <c r="H105" s="175">
        <f t="shared" si="10"/>
        <v>420</v>
      </c>
      <c r="I105" s="177">
        <f t="shared" si="11"/>
        <v>128.70000000000002</v>
      </c>
      <c r="J105" s="197"/>
      <c r="K105" s="197"/>
      <c r="L105" s="178"/>
      <c r="M105" s="178"/>
      <c r="N105" s="178"/>
      <c r="O105" s="178"/>
      <c r="P105" s="178"/>
      <c r="Q105" s="179"/>
    </row>
    <row r="106" spans="1:17" s="50" customFormat="1" ht="25" customHeight="1">
      <c r="A106" s="269" t="s">
        <v>284</v>
      </c>
      <c r="B106" s="270" t="s">
        <v>590</v>
      </c>
      <c r="C106" s="272">
        <v>4</v>
      </c>
      <c r="D106" s="272">
        <v>1</v>
      </c>
      <c r="E106" s="272">
        <v>3</v>
      </c>
      <c r="F106" s="180">
        <f t="shared" si="9"/>
        <v>257.40000000000003</v>
      </c>
      <c r="G106" s="198">
        <v>70</v>
      </c>
      <c r="H106" s="175">
        <f t="shared" si="10"/>
        <v>840</v>
      </c>
      <c r="I106" s="177">
        <f t="shared" si="11"/>
        <v>257.40000000000003</v>
      </c>
      <c r="J106" s="197"/>
      <c r="K106" s="197"/>
      <c r="L106" s="178"/>
      <c r="M106" s="178"/>
      <c r="N106" s="178"/>
      <c r="O106" s="178"/>
      <c r="P106" s="178"/>
      <c r="Q106" s="179"/>
    </row>
    <row r="107" spans="1:17" s="50" customFormat="1" ht="25" customHeight="1">
      <c r="A107" s="269" t="s">
        <v>287</v>
      </c>
      <c r="B107" s="270" t="s">
        <v>591</v>
      </c>
      <c r="C107" s="272">
        <v>2</v>
      </c>
      <c r="D107" s="272">
        <v>1.3</v>
      </c>
      <c r="E107" s="272">
        <v>6</v>
      </c>
      <c r="F107" s="180">
        <f t="shared" si="9"/>
        <v>198</v>
      </c>
      <c r="G107" s="198">
        <v>25</v>
      </c>
      <c r="H107" s="175">
        <f t="shared" si="10"/>
        <v>390.00000000000006</v>
      </c>
      <c r="I107" s="177">
        <f t="shared" si="11"/>
        <v>198</v>
      </c>
      <c r="J107" s="197"/>
      <c r="K107" s="197"/>
      <c r="L107" s="178"/>
      <c r="M107" s="178"/>
      <c r="N107" s="178"/>
      <c r="O107" s="178"/>
      <c r="P107" s="178"/>
      <c r="Q107" s="179"/>
    </row>
    <row r="108" spans="1:17" s="50" customFormat="1" ht="25" customHeight="1">
      <c r="A108" s="269" t="s">
        <v>288</v>
      </c>
      <c r="B108" s="270" t="s">
        <v>592</v>
      </c>
      <c r="C108" s="272">
        <v>3</v>
      </c>
      <c r="D108" s="272">
        <v>1</v>
      </c>
      <c r="E108" s="272">
        <v>2</v>
      </c>
      <c r="F108" s="180">
        <f t="shared" si="9"/>
        <v>128.70000000000002</v>
      </c>
      <c r="G108" s="198">
        <v>70</v>
      </c>
      <c r="H108" s="175">
        <f t="shared" si="10"/>
        <v>420</v>
      </c>
      <c r="I108" s="177">
        <f t="shared" si="11"/>
        <v>128.70000000000002</v>
      </c>
      <c r="J108" s="197"/>
      <c r="K108" s="197"/>
      <c r="L108" s="178"/>
      <c r="M108" s="178"/>
      <c r="N108" s="178"/>
      <c r="O108" s="178"/>
      <c r="P108" s="178"/>
      <c r="Q108" s="179"/>
    </row>
    <row r="109" spans="1:17" s="50" customFormat="1" ht="25" customHeight="1">
      <c r="A109" s="269" t="s">
        <v>289</v>
      </c>
      <c r="B109" s="270" t="s">
        <v>492</v>
      </c>
      <c r="C109" s="272">
        <v>2</v>
      </c>
      <c r="D109" s="272">
        <v>1</v>
      </c>
      <c r="E109" s="272">
        <v>1</v>
      </c>
      <c r="F109" s="180">
        <f t="shared" si="9"/>
        <v>33</v>
      </c>
      <c r="G109" s="198">
        <v>40</v>
      </c>
      <c r="H109" s="175">
        <f t="shared" si="10"/>
        <v>80</v>
      </c>
      <c r="I109" s="177">
        <f t="shared" si="11"/>
        <v>33</v>
      </c>
      <c r="J109" s="197"/>
      <c r="K109" s="197"/>
      <c r="L109" s="178"/>
      <c r="M109" s="178"/>
      <c r="N109" s="178"/>
      <c r="O109" s="178"/>
      <c r="P109" s="178"/>
      <c r="Q109" s="179"/>
    </row>
    <row r="110" spans="1:17" s="50" customFormat="1" ht="25" customHeight="1">
      <c r="A110" s="269" t="s">
        <v>290</v>
      </c>
      <c r="B110" s="273" t="s">
        <v>593</v>
      </c>
      <c r="C110" s="272">
        <v>4</v>
      </c>
      <c r="D110" s="272">
        <v>1</v>
      </c>
      <c r="E110" s="272">
        <v>3</v>
      </c>
      <c r="F110" s="180">
        <f t="shared" si="9"/>
        <v>257.40000000000003</v>
      </c>
      <c r="G110" s="198">
        <v>70</v>
      </c>
      <c r="H110" s="175">
        <f t="shared" si="10"/>
        <v>840</v>
      </c>
      <c r="I110" s="177">
        <f t="shared" si="11"/>
        <v>257.40000000000003</v>
      </c>
      <c r="J110" s="172">
        <v>0</v>
      </c>
      <c r="K110" s="172">
        <v>0</v>
      </c>
      <c r="L110" s="178"/>
      <c r="M110" s="178"/>
      <c r="N110" s="178"/>
      <c r="O110" s="178"/>
      <c r="P110" s="178"/>
      <c r="Q110" s="179"/>
    </row>
    <row r="111" spans="1:17" s="50" customFormat="1" ht="25" customHeight="1">
      <c r="A111" s="269" t="s">
        <v>390</v>
      </c>
      <c r="B111" s="273" t="s">
        <v>594</v>
      </c>
      <c r="C111" s="272">
        <v>3</v>
      </c>
      <c r="D111" s="272">
        <v>1.2</v>
      </c>
      <c r="E111" s="272">
        <v>2</v>
      </c>
      <c r="F111" s="180">
        <f t="shared" si="9"/>
        <v>30</v>
      </c>
      <c r="G111" s="198">
        <v>25</v>
      </c>
      <c r="H111" s="175">
        <f t="shared" si="10"/>
        <v>179.99999999999997</v>
      </c>
      <c r="I111" s="177">
        <f>E111*15</f>
        <v>30</v>
      </c>
      <c r="J111" s="178"/>
      <c r="K111" s="178"/>
      <c r="L111" s="178"/>
      <c r="M111" s="178"/>
      <c r="N111" s="178"/>
      <c r="O111" s="178"/>
      <c r="P111" s="178"/>
      <c r="Q111" s="179"/>
    </row>
    <row r="112" spans="1:17" s="50" customFormat="1" ht="25" customHeight="1">
      <c r="A112" s="269" t="s">
        <v>391</v>
      </c>
      <c r="B112" s="273" t="s">
        <v>595</v>
      </c>
      <c r="C112" s="272">
        <v>4</v>
      </c>
      <c r="D112" s="272">
        <v>1</v>
      </c>
      <c r="E112" s="272">
        <v>3</v>
      </c>
      <c r="F112" s="180">
        <f t="shared" si="9"/>
        <v>198</v>
      </c>
      <c r="G112" s="198">
        <v>25</v>
      </c>
      <c r="H112" s="175">
        <f t="shared" si="10"/>
        <v>300</v>
      </c>
      <c r="I112" s="176"/>
      <c r="J112" s="177">
        <f>IF(G112&lt;70, C112*E112*16.5*1, C112*E112*16.5*1.3)</f>
        <v>198</v>
      </c>
      <c r="K112" s="178"/>
      <c r="L112" s="178"/>
      <c r="M112" s="178"/>
      <c r="N112" s="178"/>
      <c r="O112" s="178"/>
      <c r="P112" s="178"/>
      <c r="Q112" s="179"/>
    </row>
    <row r="113" spans="1:17" s="50" customFormat="1" ht="25" customHeight="1">
      <c r="A113" s="269" t="s">
        <v>392</v>
      </c>
      <c r="B113" s="273" t="s">
        <v>596</v>
      </c>
      <c r="C113" s="272">
        <v>4</v>
      </c>
      <c r="D113" s="272">
        <v>1</v>
      </c>
      <c r="E113" s="272">
        <v>3</v>
      </c>
      <c r="F113" s="180">
        <f t="shared" si="9"/>
        <v>257.40000000000003</v>
      </c>
      <c r="G113" s="198">
        <v>70</v>
      </c>
      <c r="H113" s="175">
        <f t="shared" si="10"/>
        <v>840</v>
      </c>
      <c r="I113" s="177">
        <f>IF(G113&lt;70, C113*E113*16.5*1, C113*E113*16.5*1.3)</f>
        <v>257.40000000000003</v>
      </c>
      <c r="J113" s="178"/>
      <c r="K113" s="178"/>
      <c r="L113" s="178"/>
      <c r="M113" s="178"/>
      <c r="N113" s="178"/>
      <c r="O113" s="178"/>
      <c r="P113" s="178"/>
      <c r="Q113" s="179"/>
    </row>
    <row r="114" spans="1:17" s="50" customFormat="1" ht="25" customHeight="1">
      <c r="A114" s="269" t="s">
        <v>393</v>
      </c>
      <c r="B114" s="273" t="s">
        <v>371</v>
      </c>
      <c r="C114" s="272">
        <v>2</v>
      </c>
      <c r="D114" s="272">
        <v>1.3</v>
      </c>
      <c r="E114" s="272">
        <v>2</v>
      </c>
      <c r="F114" s="180">
        <f t="shared" si="9"/>
        <v>85.8</v>
      </c>
      <c r="G114" s="198">
        <v>70</v>
      </c>
      <c r="H114" s="175">
        <f t="shared" si="10"/>
        <v>364</v>
      </c>
      <c r="I114" s="177">
        <f t="shared" ref="I114:I119" si="12">IF(G114&lt;70, C114*E114*16.5*1, C114*E114*16.5*1.3)</f>
        <v>85.8</v>
      </c>
      <c r="J114" s="178"/>
      <c r="K114" s="178"/>
      <c r="L114" s="178"/>
      <c r="M114" s="178"/>
      <c r="N114" s="178"/>
      <c r="O114" s="178"/>
      <c r="P114" s="178"/>
      <c r="Q114" s="179"/>
    </row>
    <row r="115" spans="1:17" s="50" customFormat="1" ht="25" customHeight="1">
      <c r="A115" s="269" t="s">
        <v>394</v>
      </c>
      <c r="B115" s="273" t="s">
        <v>597</v>
      </c>
      <c r="C115" s="272">
        <v>4</v>
      </c>
      <c r="D115" s="272">
        <v>1.3</v>
      </c>
      <c r="E115" s="272">
        <v>3</v>
      </c>
      <c r="F115" s="180">
        <f t="shared" si="9"/>
        <v>257.40000000000003</v>
      </c>
      <c r="G115" s="198">
        <v>70</v>
      </c>
      <c r="H115" s="175">
        <f t="shared" si="10"/>
        <v>1092</v>
      </c>
      <c r="I115" s="177">
        <f t="shared" si="12"/>
        <v>257.40000000000003</v>
      </c>
      <c r="J115" s="178"/>
      <c r="K115" s="178"/>
      <c r="L115" s="178"/>
      <c r="M115" s="178"/>
      <c r="N115" s="178"/>
      <c r="O115" s="178"/>
      <c r="P115" s="178"/>
      <c r="Q115" s="179"/>
    </row>
    <row r="116" spans="1:17" s="50" customFormat="1" ht="25" customHeight="1">
      <c r="A116" s="269"/>
      <c r="B116" s="273" t="s">
        <v>598</v>
      </c>
      <c r="C116" s="272">
        <v>3</v>
      </c>
      <c r="D116" s="272">
        <v>1</v>
      </c>
      <c r="E116" s="272">
        <v>2</v>
      </c>
      <c r="F116" s="180">
        <f t="shared" si="9"/>
        <v>128.70000000000002</v>
      </c>
      <c r="G116" s="198">
        <v>70</v>
      </c>
      <c r="H116" s="175">
        <f t="shared" si="10"/>
        <v>420</v>
      </c>
      <c r="I116" s="177">
        <f t="shared" si="12"/>
        <v>128.70000000000002</v>
      </c>
      <c r="J116" s="197">
        <v>0</v>
      </c>
      <c r="K116" s="197">
        <v>0</v>
      </c>
      <c r="L116" s="178"/>
      <c r="M116" s="178"/>
      <c r="N116" s="178"/>
      <c r="O116" s="178"/>
      <c r="P116" s="178"/>
      <c r="Q116" s="179"/>
    </row>
    <row r="117" spans="1:17" s="50" customFormat="1" ht="25" customHeight="1">
      <c r="A117" s="269" t="s">
        <v>395</v>
      </c>
      <c r="B117" s="273" t="s">
        <v>599</v>
      </c>
      <c r="C117" s="272">
        <v>2</v>
      </c>
      <c r="D117" s="272">
        <v>1.3</v>
      </c>
      <c r="E117" s="272">
        <v>2</v>
      </c>
      <c r="F117" s="180">
        <f t="shared" si="9"/>
        <v>85.8</v>
      </c>
      <c r="G117" s="198">
        <v>70</v>
      </c>
      <c r="H117" s="175">
        <f t="shared" si="10"/>
        <v>364</v>
      </c>
      <c r="I117" s="177">
        <f t="shared" si="12"/>
        <v>85.8</v>
      </c>
      <c r="J117" s="197">
        <v>0</v>
      </c>
      <c r="K117" s="197">
        <v>0</v>
      </c>
      <c r="L117" s="178"/>
      <c r="M117" s="178"/>
      <c r="N117" s="178"/>
      <c r="O117" s="178"/>
      <c r="P117" s="178"/>
      <c r="Q117" s="179"/>
    </row>
    <row r="118" spans="1:17" s="50" customFormat="1" ht="25" customHeight="1">
      <c r="A118" s="269"/>
      <c r="B118" s="273" t="s">
        <v>600</v>
      </c>
      <c r="C118" s="272">
        <v>4</v>
      </c>
      <c r="D118" s="272">
        <v>1</v>
      </c>
      <c r="E118" s="272">
        <v>3</v>
      </c>
      <c r="F118" s="180">
        <f t="shared" si="9"/>
        <v>257.40000000000003</v>
      </c>
      <c r="G118" s="175">
        <v>70</v>
      </c>
      <c r="H118" s="175">
        <f t="shared" si="10"/>
        <v>840</v>
      </c>
      <c r="I118" s="177">
        <f t="shared" si="12"/>
        <v>257.40000000000003</v>
      </c>
      <c r="J118" s="197">
        <v>0</v>
      </c>
      <c r="K118" s="197">
        <v>0</v>
      </c>
      <c r="L118" s="178"/>
      <c r="M118" s="178"/>
      <c r="N118" s="178"/>
      <c r="O118" s="178"/>
      <c r="P118" s="178"/>
      <c r="Q118" s="179"/>
    </row>
    <row r="119" spans="1:17" s="50" customFormat="1" ht="25" customHeight="1">
      <c r="A119" s="269" t="s">
        <v>396</v>
      </c>
      <c r="B119" s="273" t="s">
        <v>601</v>
      </c>
      <c r="C119" s="272">
        <v>4</v>
      </c>
      <c r="D119" s="272">
        <v>1.1200000000000001</v>
      </c>
      <c r="E119" s="272">
        <v>3</v>
      </c>
      <c r="F119" s="180">
        <f t="shared" si="9"/>
        <v>198</v>
      </c>
      <c r="G119" s="198">
        <v>24</v>
      </c>
      <c r="H119" s="175">
        <f>C119*D119*E119*G119</f>
        <v>322.56000000000006</v>
      </c>
      <c r="I119" s="177">
        <f t="shared" si="12"/>
        <v>198</v>
      </c>
      <c r="J119" s="197"/>
      <c r="K119" s="197"/>
      <c r="L119" s="178"/>
      <c r="M119" s="178"/>
      <c r="N119" s="178"/>
      <c r="O119" s="178"/>
      <c r="P119" s="178"/>
      <c r="Q119" s="179"/>
    </row>
    <row r="120" spans="1:17" s="50" customFormat="1" ht="25" customHeight="1">
      <c r="A120" s="269"/>
      <c r="B120" s="273"/>
      <c r="C120" s="272">
        <f>SUM(C96:C119)</f>
        <v>70</v>
      </c>
      <c r="D120" s="272">
        <f>SUM(D96:D119)</f>
        <v>26.820000000000004</v>
      </c>
      <c r="E120" s="272">
        <f>SUM(E96:E119)</f>
        <v>80</v>
      </c>
      <c r="F120" s="186"/>
      <c r="G120" s="186"/>
      <c r="H120" s="186"/>
      <c r="I120" s="172"/>
      <c r="J120" s="172"/>
      <c r="K120" s="172"/>
      <c r="L120" s="178"/>
      <c r="M120" s="178"/>
      <c r="N120" s="178"/>
      <c r="O120" s="178"/>
      <c r="P120" s="178"/>
      <c r="Q120" s="179"/>
    </row>
    <row r="121" spans="1:17" s="50" customFormat="1" ht="25" customHeight="1">
      <c r="A121" s="282" t="s">
        <v>146</v>
      </c>
      <c r="B121" s="283" t="s">
        <v>149</v>
      </c>
      <c r="C121" s="276"/>
      <c r="D121" s="276"/>
      <c r="E121" s="276"/>
      <c r="F121" s="186"/>
      <c r="G121" s="186"/>
      <c r="H121" s="186"/>
      <c r="I121" s="172"/>
      <c r="J121" s="172"/>
      <c r="K121" s="172"/>
      <c r="L121" s="178"/>
      <c r="M121" s="178"/>
      <c r="N121" s="178"/>
      <c r="O121" s="178"/>
      <c r="P121" s="178"/>
      <c r="Q121" s="179"/>
    </row>
    <row r="122" spans="1:17" s="50" customFormat="1" ht="25" customHeight="1">
      <c r="A122" s="274" t="s">
        <v>230</v>
      </c>
      <c r="B122" s="275" t="s">
        <v>152</v>
      </c>
      <c r="C122" s="276"/>
      <c r="D122" s="276"/>
      <c r="E122" s="276"/>
      <c r="F122" s="186"/>
      <c r="G122" s="186"/>
      <c r="H122" s="186"/>
      <c r="I122" s="172"/>
      <c r="J122" s="172"/>
      <c r="K122" s="172"/>
      <c r="L122" s="178"/>
      <c r="M122" s="178"/>
      <c r="N122" s="178"/>
      <c r="O122" s="178"/>
      <c r="P122" s="178"/>
      <c r="Q122" s="179"/>
    </row>
    <row r="123" spans="1:17" s="50" customFormat="1" ht="25" customHeight="1">
      <c r="A123" s="274" t="s">
        <v>231</v>
      </c>
      <c r="B123" s="275" t="s">
        <v>151</v>
      </c>
      <c r="C123" s="276"/>
      <c r="D123" s="276"/>
      <c r="E123" s="276"/>
      <c r="F123" s="186"/>
      <c r="G123" s="186"/>
      <c r="H123" s="186"/>
      <c r="I123" s="172"/>
      <c r="J123" s="172"/>
      <c r="K123" s="172"/>
      <c r="L123" s="178"/>
      <c r="M123" s="178"/>
      <c r="N123" s="178"/>
      <c r="O123" s="178"/>
      <c r="P123" s="178"/>
      <c r="Q123" s="179"/>
    </row>
    <row r="124" spans="1:17" s="50" customFormat="1" ht="25" customHeight="1">
      <c r="A124" s="274" t="s">
        <v>232</v>
      </c>
      <c r="B124" s="275" t="s">
        <v>153</v>
      </c>
      <c r="C124" s="276"/>
      <c r="D124" s="276"/>
      <c r="E124" s="276"/>
      <c r="F124" s="253">
        <f>I124</f>
        <v>0</v>
      </c>
      <c r="G124" s="186">
        <v>25</v>
      </c>
      <c r="H124" s="175">
        <f>C124*D124*E124*G124</f>
        <v>0</v>
      </c>
      <c r="I124" s="180">
        <f>2*G124*E124</f>
        <v>0</v>
      </c>
      <c r="J124" s="172"/>
      <c r="K124" s="172"/>
      <c r="L124" s="178"/>
      <c r="M124" s="178"/>
      <c r="N124" s="178"/>
      <c r="O124" s="178"/>
      <c r="P124" s="178"/>
      <c r="Q124" s="179"/>
    </row>
    <row r="125" spans="1:17" s="50" customFormat="1" ht="25" customHeight="1">
      <c r="A125" s="274" t="s">
        <v>233</v>
      </c>
      <c r="B125" s="275" t="s">
        <v>154</v>
      </c>
      <c r="C125" s="276">
        <v>4</v>
      </c>
      <c r="D125" s="276">
        <v>1.4</v>
      </c>
      <c r="E125" s="276">
        <v>6</v>
      </c>
      <c r="F125" s="186"/>
      <c r="G125" s="186"/>
      <c r="H125" s="186"/>
      <c r="I125" s="172"/>
      <c r="J125" s="172"/>
      <c r="K125" s="172"/>
      <c r="L125" s="178"/>
      <c r="M125" s="178"/>
      <c r="N125" s="178"/>
      <c r="O125" s="178"/>
      <c r="P125" s="178"/>
      <c r="Q125" s="179"/>
    </row>
    <row r="126" spans="1:17" s="50" customFormat="1" ht="25" customHeight="1">
      <c r="A126" s="274" t="s">
        <v>234</v>
      </c>
      <c r="B126" s="275" t="s">
        <v>155</v>
      </c>
      <c r="C126" s="276"/>
      <c r="D126" s="276"/>
      <c r="E126" s="276"/>
      <c r="F126" s="175">
        <f t="shared" ref="F126:K126" si="13">SUM(F96:F125)</f>
        <v>3905.8500000000008</v>
      </c>
      <c r="G126" s="172">
        <f t="shared" si="13"/>
        <v>1319</v>
      </c>
      <c r="H126" s="172">
        <f t="shared" si="13"/>
        <v>12079.56</v>
      </c>
      <c r="I126" s="172">
        <f t="shared" si="13"/>
        <v>3707.8500000000008</v>
      </c>
      <c r="J126" s="172">
        <f t="shared" si="13"/>
        <v>198</v>
      </c>
      <c r="K126" s="172">
        <f t="shared" si="13"/>
        <v>0</v>
      </c>
      <c r="L126" s="178"/>
      <c r="M126" s="178"/>
      <c r="N126" s="178"/>
      <c r="O126" s="178"/>
      <c r="P126" s="178"/>
      <c r="Q126" s="179"/>
    </row>
    <row r="127" spans="1:17" s="50" customFormat="1" ht="25" customHeight="1">
      <c r="A127" s="274"/>
      <c r="B127" s="286" t="s">
        <v>375</v>
      </c>
      <c r="C127" s="276">
        <v>4</v>
      </c>
      <c r="D127" s="276">
        <v>1.4</v>
      </c>
      <c r="E127" s="276">
        <v>6</v>
      </c>
      <c r="F127" s="175"/>
      <c r="G127" s="172"/>
      <c r="H127" s="172"/>
      <c r="I127" s="172"/>
      <c r="J127" s="172"/>
      <c r="K127" s="172"/>
      <c r="L127" s="178"/>
      <c r="M127" s="178"/>
      <c r="N127" s="178"/>
      <c r="O127" s="178"/>
      <c r="P127" s="178"/>
      <c r="Q127" s="179"/>
    </row>
    <row r="128" spans="1:17" s="50" customFormat="1" ht="25" customHeight="1">
      <c r="A128" s="277">
        <v>2</v>
      </c>
      <c r="B128" s="277" t="s">
        <v>494</v>
      </c>
      <c r="C128" s="276"/>
      <c r="D128" s="276"/>
      <c r="E128" s="276"/>
      <c r="F128" s="196"/>
      <c r="G128" s="198">
        <v>70</v>
      </c>
      <c r="H128" s="175"/>
      <c r="I128" s="175"/>
      <c r="J128" s="197">
        <v>5</v>
      </c>
      <c r="K128" s="176"/>
      <c r="L128" s="178"/>
      <c r="M128" s="178"/>
      <c r="N128" s="178"/>
      <c r="O128" s="178"/>
      <c r="P128" s="178"/>
      <c r="Q128" s="1872" t="s">
        <v>520</v>
      </c>
    </row>
    <row r="129" spans="1:17" s="50" customFormat="1" ht="25" customHeight="1">
      <c r="A129" s="278" t="s">
        <v>145</v>
      </c>
      <c r="B129" s="279" t="s">
        <v>163</v>
      </c>
      <c r="C129" s="276"/>
      <c r="D129" s="276"/>
      <c r="E129" s="276"/>
      <c r="F129" s="196"/>
      <c r="G129" s="198">
        <v>70</v>
      </c>
      <c r="H129" s="175"/>
      <c r="I129" s="175"/>
      <c r="J129" s="197">
        <v>5</v>
      </c>
      <c r="K129" s="176"/>
      <c r="L129" s="178"/>
      <c r="M129" s="178"/>
      <c r="N129" s="178"/>
      <c r="O129" s="178"/>
      <c r="P129" s="178"/>
      <c r="Q129" s="1872"/>
    </row>
    <row r="130" spans="1:17" s="50" customFormat="1" ht="25" customHeight="1">
      <c r="A130" s="275" t="s">
        <v>224</v>
      </c>
      <c r="B130" s="280" t="s">
        <v>602</v>
      </c>
      <c r="C130" s="276">
        <v>3</v>
      </c>
      <c r="D130" s="276">
        <v>1</v>
      </c>
      <c r="E130" s="276">
        <v>1</v>
      </c>
      <c r="F130" s="180"/>
      <c r="G130" s="198">
        <v>70</v>
      </c>
      <c r="H130" s="176"/>
      <c r="I130" s="176"/>
      <c r="J130" s="197">
        <v>5</v>
      </c>
      <c r="K130" s="176"/>
      <c r="L130" s="176"/>
      <c r="M130" s="178"/>
      <c r="N130" s="178"/>
      <c r="O130" s="178"/>
      <c r="P130" s="178"/>
      <c r="Q130" s="1872"/>
    </row>
    <row r="131" spans="1:17" s="50" customFormat="1" ht="25" customHeight="1">
      <c r="A131" s="275" t="s">
        <v>225</v>
      </c>
      <c r="B131" s="280" t="s">
        <v>603</v>
      </c>
      <c r="C131" s="276">
        <v>3</v>
      </c>
      <c r="D131" s="276">
        <v>1</v>
      </c>
      <c r="E131" s="276">
        <v>1</v>
      </c>
      <c r="F131" s="180"/>
      <c r="G131" s="198">
        <v>70</v>
      </c>
      <c r="H131" s="176"/>
      <c r="I131" s="176"/>
      <c r="J131" s="197">
        <v>5</v>
      </c>
      <c r="K131" s="176"/>
      <c r="L131" s="176"/>
      <c r="M131" s="178"/>
      <c r="N131" s="178"/>
      <c r="O131" s="178"/>
      <c r="P131" s="178"/>
      <c r="Q131" s="1872"/>
    </row>
    <row r="132" spans="1:17" s="50" customFormat="1" ht="25" customHeight="1">
      <c r="A132" s="275" t="s">
        <v>226</v>
      </c>
      <c r="B132" s="280" t="s">
        <v>604</v>
      </c>
      <c r="C132" s="276">
        <v>3</v>
      </c>
      <c r="D132" s="276">
        <v>1</v>
      </c>
      <c r="E132" s="276">
        <v>1</v>
      </c>
      <c r="F132" s="180"/>
      <c r="G132" s="198">
        <v>70</v>
      </c>
      <c r="H132" s="176"/>
      <c r="I132" s="176"/>
      <c r="J132" s="197">
        <v>5</v>
      </c>
      <c r="K132" s="176"/>
      <c r="L132" s="176"/>
      <c r="M132" s="178"/>
      <c r="N132" s="178"/>
      <c r="O132" s="178"/>
      <c r="P132" s="178"/>
      <c r="Q132" s="1872"/>
    </row>
    <row r="133" spans="1:17" s="50" customFormat="1" ht="25" customHeight="1">
      <c r="A133" s="275" t="s">
        <v>227</v>
      </c>
      <c r="B133" s="280" t="s">
        <v>605</v>
      </c>
      <c r="C133" s="276">
        <v>3</v>
      </c>
      <c r="D133" s="276">
        <v>1</v>
      </c>
      <c r="E133" s="276">
        <v>1</v>
      </c>
      <c r="F133" s="180"/>
      <c r="G133" s="198">
        <v>70</v>
      </c>
      <c r="H133" s="176"/>
      <c r="I133" s="176"/>
      <c r="J133" s="197">
        <v>5</v>
      </c>
      <c r="K133" s="176"/>
      <c r="L133" s="176"/>
      <c r="M133" s="178"/>
      <c r="N133" s="178"/>
      <c r="O133" s="178"/>
      <c r="P133" s="178"/>
      <c r="Q133" s="1872"/>
    </row>
    <row r="134" spans="1:17" s="50" customFormat="1" ht="25" customHeight="1">
      <c r="A134" s="275" t="s">
        <v>228</v>
      </c>
      <c r="B134" s="275" t="s">
        <v>493</v>
      </c>
      <c r="C134" s="276">
        <v>3</v>
      </c>
      <c r="D134" s="276">
        <v>1</v>
      </c>
      <c r="E134" s="276">
        <v>1</v>
      </c>
      <c r="F134" s="180"/>
      <c r="G134" s="198">
        <v>70</v>
      </c>
      <c r="H134" s="176"/>
      <c r="I134" s="176"/>
      <c r="J134" s="197">
        <v>5</v>
      </c>
      <c r="K134" s="176"/>
      <c r="L134" s="176"/>
      <c r="M134" s="178"/>
      <c r="N134" s="178"/>
      <c r="O134" s="178"/>
      <c r="P134" s="178"/>
      <c r="Q134" s="1872"/>
    </row>
    <row r="135" spans="1:17" s="50" customFormat="1" ht="25" customHeight="1">
      <c r="A135" s="275" t="s">
        <v>229</v>
      </c>
      <c r="B135" s="281" t="s">
        <v>606</v>
      </c>
      <c r="C135" s="276">
        <v>3</v>
      </c>
      <c r="D135" s="276">
        <v>1</v>
      </c>
      <c r="E135" s="276">
        <v>1</v>
      </c>
      <c r="F135" s="186"/>
      <c r="G135" s="186"/>
      <c r="H135" s="186"/>
      <c r="I135" s="172"/>
      <c r="J135" s="172"/>
      <c r="K135" s="172"/>
      <c r="L135" s="178"/>
      <c r="M135" s="178"/>
      <c r="N135" s="178"/>
      <c r="O135" s="178"/>
      <c r="P135" s="178"/>
      <c r="Q135" s="179"/>
    </row>
    <row r="136" spans="1:17" s="50" customFormat="1" ht="25" customHeight="1">
      <c r="A136" s="274" t="s">
        <v>280</v>
      </c>
      <c r="B136" s="281" t="s">
        <v>607</v>
      </c>
      <c r="C136" s="276">
        <v>3</v>
      </c>
      <c r="D136" s="276">
        <v>1</v>
      </c>
      <c r="E136" s="276">
        <v>1</v>
      </c>
      <c r="F136" s="186"/>
      <c r="G136" s="186"/>
      <c r="H136" s="186"/>
      <c r="I136" s="172"/>
      <c r="J136" s="172"/>
      <c r="K136" s="172"/>
      <c r="L136" s="178"/>
      <c r="M136" s="178"/>
      <c r="N136" s="178"/>
      <c r="O136" s="178"/>
      <c r="P136" s="178"/>
      <c r="Q136" s="179"/>
    </row>
    <row r="137" spans="1:17" s="50" customFormat="1" ht="25" customHeight="1">
      <c r="A137" s="274"/>
      <c r="B137" s="281"/>
      <c r="C137" s="276">
        <f>SUM(C130:C136)</f>
        <v>21</v>
      </c>
      <c r="D137" s="276">
        <f>SUM(D130:D136)</f>
        <v>7</v>
      </c>
      <c r="E137" s="276">
        <f>SUM(E130:E136)</f>
        <v>7</v>
      </c>
      <c r="F137" s="180">
        <f t="shared" ref="F137:F145" si="14">I137+J137+K137</f>
        <v>3638.25</v>
      </c>
      <c r="G137" s="200">
        <v>13</v>
      </c>
      <c r="H137" s="175">
        <f>C137*D137*E137*G137</f>
        <v>13377</v>
      </c>
      <c r="I137" s="177">
        <f>IF(G137&lt;70, C137*E137*16.5*1.5, C137*E137*16.5*1.5)</f>
        <v>3638.25</v>
      </c>
      <c r="J137" s="172"/>
      <c r="K137" s="172"/>
      <c r="L137" s="178"/>
      <c r="M137" s="178"/>
      <c r="N137" s="178"/>
      <c r="O137" s="178"/>
      <c r="P137" s="178"/>
      <c r="Q137" s="179"/>
    </row>
    <row r="138" spans="1:17" s="50" customFormat="1" ht="25" customHeight="1">
      <c r="A138" s="282" t="s">
        <v>146</v>
      </c>
      <c r="B138" s="283" t="s">
        <v>465</v>
      </c>
      <c r="C138" s="276"/>
      <c r="D138" s="276"/>
      <c r="E138" s="276"/>
      <c r="F138" s="180">
        <f t="shared" si="14"/>
        <v>0</v>
      </c>
      <c r="G138" s="200">
        <v>13</v>
      </c>
      <c r="H138" s="175">
        <f t="shared" ref="H138:H143" si="15">C138*D138*E138*G138</f>
        <v>0</v>
      </c>
      <c r="I138" s="177">
        <f t="shared" ref="I138:I143" si="16">IF(G138&lt;70, C138*E138*16.5*1.5, C138*E138*16.5*1.5)</f>
        <v>0</v>
      </c>
      <c r="J138" s="172"/>
      <c r="K138" s="172"/>
      <c r="L138" s="178"/>
      <c r="M138" s="178"/>
      <c r="N138" s="178"/>
      <c r="O138" s="178"/>
      <c r="P138" s="178"/>
      <c r="Q138" s="179"/>
    </row>
    <row r="139" spans="1:17" s="50" customFormat="1" ht="25" customHeight="1">
      <c r="A139" s="282"/>
      <c r="B139" s="275" t="s">
        <v>608</v>
      </c>
      <c r="C139" s="276">
        <v>15</v>
      </c>
      <c r="D139" s="276">
        <v>1</v>
      </c>
      <c r="E139" s="276">
        <v>1</v>
      </c>
      <c r="F139" s="180">
        <f t="shared" si="14"/>
        <v>371.25</v>
      </c>
      <c r="G139" s="200">
        <v>13</v>
      </c>
      <c r="H139" s="175">
        <f t="shared" si="15"/>
        <v>195</v>
      </c>
      <c r="I139" s="177">
        <f t="shared" si="16"/>
        <v>371.25</v>
      </c>
      <c r="J139" s="172"/>
      <c r="K139" s="172"/>
      <c r="L139" s="178"/>
      <c r="M139" s="178"/>
      <c r="N139" s="178"/>
      <c r="O139" s="178"/>
      <c r="P139" s="178"/>
      <c r="Q139" s="179"/>
    </row>
    <row r="140" spans="1:17" s="50" customFormat="1" ht="25" customHeight="1">
      <c r="A140" s="274"/>
      <c r="B140" s="284" t="s">
        <v>375</v>
      </c>
      <c r="C140" s="276">
        <f>SUM(C130:C139)</f>
        <v>57</v>
      </c>
      <c r="D140" s="276">
        <f>SUM(D130:D139)</f>
        <v>15</v>
      </c>
      <c r="E140" s="276">
        <f>SUM(E130:E139)</f>
        <v>15</v>
      </c>
      <c r="F140" s="180">
        <f t="shared" si="14"/>
        <v>21161.25</v>
      </c>
      <c r="G140" s="200">
        <v>13</v>
      </c>
      <c r="H140" s="175">
        <f t="shared" si="15"/>
        <v>166725</v>
      </c>
      <c r="I140" s="177">
        <f t="shared" si="16"/>
        <v>21161.25</v>
      </c>
      <c r="J140" s="172"/>
      <c r="K140" s="172"/>
      <c r="L140" s="178"/>
      <c r="M140" s="178"/>
      <c r="N140" s="178"/>
      <c r="O140" s="178"/>
      <c r="P140" s="178"/>
      <c r="Q140" s="179"/>
    </row>
    <row r="141" spans="1:17" s="50" customFormat="1" ht="25" customHeight="1">
      <c r="A141" s="277">
        <v>1</v>
      </c>
      <c r="B141" s="279" t="s">
        <v>223</v>
      </c>
      <c r="C141" s="276"/>
      <c r="D141" s="276"/>
      <c r="E141" s="276"/>
      <c r="F141" s="180">
        <f t="shared" si="14"/>
        <v>0</v>
      </c>
      <c r="G141" s="200">
        <v>13</v>
      </c>
      <c r="H141" s="175">
        <f>C141*D141*E141*G141</f>
        <v>0</v>
      </c>
      <c r="I141" s="177">
        <f t="shared" si="16"/>
        <v>0</v>
      </c>
      <c r="J141" s="172"/>
      <c r="K141" s="172"/>
      <c r="L141" s="178"/>
      <c r="M141" s="178"/>
      <c r="N141" s="178"/>
      <c r="O141" s="178"/>
      <c r="P141" s="178"/>
      <c r="Q141" s="179"/>
    </row>
    <row r="142" spans="1:17" s="50" customFormat="1" ht="25" customHeight="1">
      <c r="A142" s="277" t="s">
        <v>376</v>
      </c>
      <c r="B142" s="279" t="s">
        <v>161</v>
      </c>
      <c r="C142" s="276"/>
      <c r="D142" s="276"/>
      <c r="E142" s="276"/>
      <c r="F142" s="180">
        <f t="shared" si="14"/>
        <v>0</v>
      </c>
      <c r="G142" s="200">
        <v>13</v>
      </c>
      <c r="H142" s="175">
        <f t="shared" si="15"/>
        <v>0</v>
      </c>
      <c r="I142" s="177">
        <f t="shared" si="16"/>
        <v>0</v>
      </c>
      <c r="J142" s="172"/>
      <c r="K142" s="172"/>
      <c r="L142" s="178"/>
      <c r="M142" s="178"/>
      <c r="N142" s="178"/>
      <c r="O142" s="178"/>
      <c r="P142" s="178"/>
      <c r="Q142" s="179"/>
    </row>
    <row r="143" spans="1:17" s="50" customFormat="1" ht="25" customHeight="1">
      <c r="A143" s="274" t="s">
        <v>226</v>
      </c>
      <c r="B143" s="285" t="s">
        <v>609</v>
      </c>
      <c r="C143" s="276">
        <v>3</v>
      </c>
      <c r="D143" s="276">
        <v>1</v>
      </c>
      <c r="E143" s="276">
        <v>7</v>
      </c>
      <c r="F143" s="180">
        <f t="shared" si="14"/>
        <v>519.75</v>
      </c>
      <c r="G143" s="200">
        <v>13</v>
      </c>
      <c r="H143" s="175">
        <f t="shared" si="15"/>
        <v>273</v>
      </c>
      <c r="I143" s="177">
        <f t="shared" si="16"/>
        <v>519.75</v>
      </c>
      <c r="J143" s="172"/>
      <c r="K143" s="172"/>
      <c r="L143" s="178"/>
      <c r="M143" s="178"/>
      <c r="N143" s="178"/>
      <c r="O143" s="178"/>
      <c r="P143" s="178"/>
      <c r="Q143" s="179"/>
    </row>
    <row r="144" spans="1:17" s="50" customFormat="1" ht="25" customHeight="1">
      <c r="A144" s="274" t="s">
        <v>227</v>
      </c>
      <c r="B144" s="285" t="s">
        <v>610</v>
      </c>
      <c r="C144" s="276">
        <v>3</v>
      </c>
      <c r="D144" s="276">
        <v>1</v>
      </c>
      <c r="E144" s="276">
        <v>7</v>
      </c>
      <c r="F144" s="186"/>
      <c r="G144" s="186"/>
      <c r="H144" s="186"/>
      <c r="I144" s="203"/>
      <c r="J144" s="203"/>
      <c r="K144" s="172"/>
      <c r="L144" s="178"/>
      <c r="M144" s="178"/>
      <c r="N144" s="178"/>
      <c r="O144" s="178"/>
      <c r="P144" s="178"/>
      <c r="Q144" s="179"/>
    </row>
    <row r="145" spans="1:17" s="50" customFormat="1" ht="25" customHeight="1">
      <c r="A145" s="274" t="s">
        <v>228</v>
      </c>
      <c r="B145" s="285" t="s">
        <v>611</v>
      </c>
      <c r="C145" s="276">
        <v>2</v>
      </c>
      <c r="D145" s="276">
        <v>1</v>
      </c>
      <c r="E145" s="276">
        <v>10</v>
      </c>
      <c r="F145" s="180">
        <f t="shared" si="14"/>
        <v>14700</v>
      </c>
      <c r="G145" s="186">
        <v>42</v>
      </c>
      <c r="H145" s="175">
        <f>C145*D145*E145*G145</f>
        <v>840</v>
      </c>
      <c r="I145" s="177">
        <f>E145*G145*35</f>
        <v>14700</v>
      </c>
      <c r="J145" s="203"/>
      <c r="K145" s="172"/>
      <c r="L145" s="178"/>
      <c r="M145" s="178"/>
      <c r="N145" s="178"/>
      <c r="O145" s="178"/>
      <c r="P145" s="178"/>
      <c r="Q145" s="179"/>
    </row>
    <row r="146" spans="1:17" s="50" customFormat="1" ht="25" customHeight="1">
      <c r="A146" s="274" t="s">
        <v>229</v>
      </c>
      <c r="B146" s="285" t="s">
        <v>612</v>
      </c>
      <c r="C146" s="276">
        <v>3</v>
      </c>
      <c r="D146" s="276">
        <v>1</v>
      </c>
      <c r="E146" s="276">
        <v>16</v>
      </c>
      <c r="F146" s="186">
        <f>SUM(F137:F145)</f>
        <v>40390.5</v>
      </c>
      <c r="G146" s="204">
        <f>SUM(G137:G145)</f>
        <v>133</v>
      </c>
      <c r="H146" s="204">
        <f>SUM(H137:H145)</f>
        <v>181410</v>
      </c>
      <c r="I146" s="204">
        <f>SUM(I137:I145)</f>
        <v>40390.5</v>
      </c>
      <c r="J146" s="172">
        <v>0</v>
      </c>
      <c r="K146" s="172">
        <v>0</v>
      </c>
      <c r="L146" s="178"/>
      <c r="M146" s="178"/>
      <c r="N146" s="178"/>
      <c r="O146" s="178"/>
      <c r="P146" s="178"/>
      <c r="Q146" s="179"/>
    </row>
    <row r="147" spans="1:17" s="50" customFormat="1" ht="25" customHeight="1">
      <c r="A147" s="274" t="s">
        <v>280</v>
      </c>
      <c r="B147" s="285" t="s">
        <v>613</v>
      </c>
      <c r="C147" s="276">
        <v>2</v>
      </c>
      <c r="D147" s="276">
        <v>1</v>
      </c>
      <c r="E147" s="276">
        <v>10</v>
      </c>
      <c r="F147" s="186"/>
      <c r="G147" s="186"/>
      <c r="H147" s="186"/>
      <c r="I147" s="203"/>
      <c r="J147" s="178"/>
      <c r="K147" s="178"/>
      <c r="L147" s="178"/>
      <c r="M147" s="178"/>
      <c r="N147" s="178"/>
      <c r="O147" s="178"/>
      <c r="P147" s="178"/>
      <c r="Q147" s="179"/>
    </row>
    <row r="148" spans="1:17" s="50" customFormat="1" ht="25" customHeight="1">
      <c r="A148" s="274" t="s">
        <v>282</v>
      </c>
      <c r="B148" s="281" t="s">
        <v>614</v>
      </c>
      <c r="C148" s="276">
        <v>3</v>
      </c>
      <c r="D148" s="276">
        <v>1</v>
      </c>
      <c r="E148" s="276">
        <v>10</v>
      </c>
      <c r="F148" s="186"/>
      <c r="G148" s="186"/>
      <c r="H148" s="186"/>
      <c r="I148" s="203"/>
      <c r="J148" s="178"/>
      <c r="K148" s="178"/>
      <c r="L148" s="178"/>
      <c r="M148" s="178"/>
      <c r="N148" s="178"/>
      <c r="O148" s="178"/>
      <c r="P148" s="178"/>
      <c r="Q148" s="179"/>
    </row>
    <row r="149" spans="1:17" s="50" customFormat="1" ht="25" customHeight="1">
      <c r="A149" s="274" t="s">
        <v>284</v>
      </c>
      <c r="B149" s="275" t="s">
        <v>615</v>
      </c>
      <c r="C149" s="276">
        <v>3</v>
      </c>
      <c r="D149" s="276">
        <v>1</v>
      </c>
      <c r="E149" s="276">
        <v>10</v>
      </c>
      <c r="F149" s="180">
        <f t="shared" ref="F149:F163" si="17">I149+J149+K149</f>
        <v>643.5</v>
      </c>
      <c r="G149" s="200">
        <v>70</v>
      </c>
      <c r="H149" s="175">
        <f t="shared" ref="H149:H163" si="18">C149*D149*E149*G149</f>
        <v>2100</v>
      </c>
      <c r="I149" s="177">
        <f>IF(G149&lt;70, C149*E149*16.5*1, C149*E149*16.5*1.3)</f>
        <v>643.5</v>
      </c>
      <c r="J149" s="178"/>
      <c r="K149" s="178"/>
      <c r="L149" s="178"/>
      <c r="M149" s="178"/>
      <c r="N149" s="178"/>
      <c r="O149" s="178"/>
      <c r="P149" s="178"/>
      <c r="Q149" s="179"/>
    </row>
    <row r="150" spans="1:17" s="50" customFormat="1" ht="25" customHeight="1">
      <c r="A150" s="274" t="s">
        <v>287</v>
      </c>
      <c r="B150" s="275" t="s">
        <v>383</v>
      </c>
      <c r="C150" s="276">
        <v>3</v>
      </c>
      <c r="D150" s="276">
        <v>1</v>
      </c>
      <c r="E150" s="276">
        <v>16</v>
      </c>
      <c r="F150" s="180">
        <f t="shared" si="17"/>
        <v>1029.6000000000001</v>
      </c>
      <c r="G150" s="200">
        <v>70</v>
      </c>
      <c r="H150" s="175">
        <f t="shared" si="18"/>
        <v>3360</v>
      </c>
      <c r="I150" s="177">
        <f t="shared" ref="I150:I163" si="19">IF(G150&lt;70, C150*E150*16.5*1, C150*E150*16.5*1.3)</f>
        <v>1029.6000000000001</v>
      </c>
      <c r="J150" s="178"/>
      <c r="K150" s="178"/>
      <c r="L150" s="178"/>
      <c r="M150" s="178"/>
      <c r="N150" s="178"/>
      <c r="O150" s="178"/>
      <c r="P150" s="178"/>
      <c r="Q150" s="179"/>
    </row>
    <row r="151" spans="1:17" s="50" customFormat="1" ht="25" customHeight="1">
      <c r="A151" s="274" t="s">
        <v>288</v>
      </c>
      <c r="B151" s="275" t="s">
        <v>616</v>
      </c>
      <c r="C151" s="276">
        <v>4</v>
      </c>
      <c r="D151" s="276">
        <v>1</v>
      </c>
      <c r="E151" s="276">
        <v>10</v>
      </c>
      <c r="F151" s="180">
        <f t="shared" si="17"/>
        <v>858</v>
      </c>
      <c r="G151" s="200">
        <v>70</v>
      </c>
      <c r="H151" s="175">
        <f t="shared" si="18"/>
        <v>2800</v>
      </c>
      <c r="I151" s="177">
        <f t="shared" si="19"/>
        <v>858</v>
      </c>
      <c r="J151" s="178"/>
      <c r="K151" s="178"/>
      <c r="L151" s="178"/>
      <c r="M151" s="178"/>
      <c r="N151" s="178"/>
      <c r="O151" s="178"/>
      <c r="P151" s="178"/>
      <c r="Q151" s="179"/>
    </row>
    <row r="152" spans="1:17" s="50" customFormat="1" ht="25" customHeight="1">
      <c r="A152" s="274" t="s">
        <v>289</v>
      </c>
      <c r="B152" s="275" t="s">
        <v>617</v>
      </c>
      <c r="C152" s="276">
        <v>4</v>
      </c>
      <c r="D152" s="276">
        <v>1</v>
      </c>
      <c r="E152" s="276">
        <v>8</v>
      </c>
      <c r="F152" s="180">
        <f t="shared" si="17"/>
        <v>686.4</v>
      </c>
      <c r="G152" s="200">
        <v>70</v>
      </c>
      <c r="H152" s="175">
        <f t="shared" si="18"/>
        <v>2240</v>
      </c>
      <c r="I152" s="177">
        <f t="shared" si="19"/>
        <v>686.4</v>
      </c>
      <c r="J152" s="178"/>
      <c r="K152" s="178"/>
      <c r="L152" s="178"/>
      <c r="M152" s="178"/>
      <c r="N152" s="178"/>
      <c r="O152" s="178"/>
      <c r="P152" s="178"/>
      <c r="Q152" s="179"/>
    </row>
    <row r="153" spans="1:17" s="50" customFormat="1" ht="25" customHeight="1">
      <c r="A153" s="274" t="s">
        <v>290</v>
      </c>
      <c r="B153" s="275" t="s">
        <v>618</v>
      </c>
      <c r="C153" s="276">
        <v>4</v>
      </c>
      <c r="D153" s="276">
        <v>1</v>
      </c>
      <c r="E153" s="276">
        <v>8</v>
      </c>
      <c r="F153" s="180">
        <f t="shared" si="17"/>
        <v>686.4</v>
      </c>
      <c r="G153" s="200">
        <v>70</v>
      </c>
      <c r="H153" s="175">
        <f t="shared" si="18"/>
        <v>2240</v>
      </c>
      <c r="I153" s="177">
        <f t="shared" si="19"/>
        <v>686.4</v>
      </c>
      <c r="J153" s="197"/>
      <c r="K153" s="197"/>
      <c r="L153" s="197"/>
      <c r="M153" s="197"/>
      <c r="N153" s="197"/>
      <c r="O153" s="197"/>
      <c r="P153" s="197"/>
      <c r="Q153" s="180"/>
    </row>
    <row r="154" spans="1:17" s="50" customFormat="1" ht="25" customHeight="1">
      <c r="A154" s="202" t="s">
        <v>229</v>
      </c>
      <c r="B154" s="205" t="s">
        <v>377</v>
      </c>
      <c r="C154" s="200">
        <v>4</v>
      </c>
      <c r="D154" s="200">
        <v>1</v>
      </c>
      <c r="E154" s="200">
        <v>16</v>
      </c>
      <c r="F154" s="180">
        <f t="shared" si="17"/>
        <v>1372.8</v>
      </c>
      <c r="G154" s="200">
        <v>70</v>
      </c>
      <c r="H154" s="175">
        <f t="shared" si="18"/>
        <v>4480</v>
      </c>
      <c r="I154" s="177">
        <f t="shared" si="19"/>
        <v>1372.8</v>
      </c>
      <c r="J154" s="197"/>
      <c r="K154" s="197"/>
      <c r="L154" s="197"/>
      <c r="M154" s="197"/>
      <c r="N154" s="197"/>
      <c r="O154" s="197"/>
      <c r="P154" s="197"/>
      <c r="Q154" s="180"/>
    </row>
    <row r="155" spans="1:17" s="50" customFormat="1" ht="25" customHeight="1">
      <c r="A155" s="202" t="s">
        <v>280</v>
      </c>
      <c r="B155" s="205" t="s">
        <v>378</v>
      </c>
      <c r="C155" s="200">
        <v>2</v>
      </c>
      <c r="D155" s="200">
        <v>1</v>
      </c>
      <c r="E155" s="200">
        <v>16</v>
      </c>
      <c r="F155" s="180">
        <f t="shared" si="17"/>
        <v>686.4</v>
      </c>
      <c r="G155" s="200">
        <v>80</v>
      </c>
      <c r="H155" s="175">
        <f t="shared" si="18"/>
        <v>2560</v>
      </c>
      <c r="I155" s="177">
        <f t="shared" si="19"/>
        <v>686.4</v>
      </c>
      <c r="J155" s="197"/>
      <c r="K155" s="197"/>
      <c r="L155" s="197"/>
      <c r="M155" s="197"/>
      <c r="N155" s="197"/>
      <c r="O155" s="197"/>
      <c r="P155" s="197"/>
      <c r="Q155" s="180"/>
    </row>
    <row r="156" spans="1:17" s="50" customFormat="1" ht="25" customHeight="1">
      <c r="A156" s="202" t="s">
        <v>281</v>
      </c>
      <c r="B156" s="205" t="s">
        <v>379</v>
      </c>
      <c r="C156" s="200">
        <v>4</v>
      </c>
      <c r="D156" s="200">
        <v>1</v>
      </c>
      <c r="E156" s="200">
        <v>16</v>
      </c>
      <c r="F156" s="180">
        <f t="shared" si="17"/>
        <v>1372.8</v>
      </c>
      <c r="G156" s="200">
        <v>70</v>
      </c>
      <c r="H156" s="175">
        <f t="shared" si="18"/>
        <v>4480</v>
      </c>
      <c r="I156" s="177">
        <f t="shared" si="19"/>
        <v>1372.8</v>
      </c>
      <c r="J156" s="197"/>
      <c r="K156" s="197"/>
      <c r="L156" s="197"/>
      <c r="M156" s="197"/>
      <c r="N156" s="197"/>
      <c r="O156" s="197"/>
      <c r="P156" s="197"/>
      <c r="Q156" s="180"/>
    </row>
    <row r="157" spans="1:17" s="50" customFormat="1" ht="25" customHeight="1">
      <c r="A157" s="202" t="s">
        <v>282</v>
      </c>
      <c r="B157" s="201" t="s">
        <v>380</v>
      </c>
      <c r="C157" s="200">
        <v>3</v>
      </c>
      <c r="D157" s="200">
        <v>1</v>
      </c>
      <c r="E157" s="200">
        <v>16</v>
      </c>
      <c r="F157" s="180">
        <f t="shared" si="17"/>
        <v>1029.6000000000001</v>
      </c>
      <c r="G157" s="200">
        <v>70</v>
      </c>
      <c r="H157" s="175">
        <f t="shared" si="18"/>
        <v>3360</v>
      </c>
      <c r="I157" s="177">
        <f t="shared" si="19"/>
        <v>1029.6000000000001</v>
      </c>
      <c r="J157" s="197"/>
      <c r="K157" s="197"/>
      <c r="L157" s="197"/>
      <c r="M157" s="197"/>
      <c r="N157" s="197"/>
      <c r="O157" s="197"/>
      <c r="P157" s="197"/>
      <c r="Q157" s="180"/>
    </row>
    <row r="158" spans="1:17" s="50" customFormat="1" ht="25" customHeight="1">
      <c r="A158" s="202" t="s">
        <v>283</v>
      </c>
      <c r="B158" s="201" t="s">
        <v>381</v>
      </c>
      <c r="C158" s="200">
        <v>3</v>
      </c>
      <c r="D158" s="200">
        <v>1</v>
      </c>
      <c r="E158" s="200">
        <v>16</v>
      </c>
      <c r="F158" s="180">
        <f t="shared" si="17"/>
        <v>1029.6000000000001</v>
      </c>
      <c r="G158" s="200">
        <v>70</v>
      </c>
      <c r="H158" s="175">
        <f t="shared" si="18"/>
        <v>3360</v>
      </c>
      <c r="I158" s="177">
        <f t="shared" si="19"/>
        <v>1029.6000000000001</v>
      </c>
      <c r="J158" s="197"/>
      <c r="K158" s="197"/>
      <c r="L158" s="197"/>
      <c r="M158" s="197"/>
      <c r="N158" s="197"/>
      <c r="O158" s="197"/>
      <c r="P158" s="197"/>
      <c r="Q158" s="180"/>
    </row>
    <row r="159" spans="1:17" s="50" customFormat="1" ht="25" customHeight="1">
      <c r="A159" s="202" t="s">
        <v>284</v>
      </c>
      <c r="B159" s="199" t="s">
        <v>382</v>
      </c>
      <c r="C159" s="200">
        <v>3</v>
      </c>
      <c r="D159" s="200">
        <v>1</v>
      </c>
      <c r="E159" s="200">
        <v>16</v>
      </c>
      <c r="F159" s="180">
        <f t="shared" si="17"/>
        <v>1029.6000000000001</v>
      </c>
      <c r="G159" s="200">
        <v>70</v>
      </c>
      <c r="H159" s="175">
        <f t="shared" si="18"/>
        <v>3360</v>
      </c>
      <c r="I159" s="177">
        <f t="shared" si="19"/>
        <v>1029.6000000000001</v>
      </c>
      <c r="J159" s="197"/>
      <c r="K159" s="197"/>
      <c r="L159" s="197"/>
      <c r="M159" s="197"/>
      <c r="N159" s="197"/>
      <c r="O159" s="197"/>
      <c r="P159" s="197"/>
      <c r="Q159" s="180"/>
    </row>
    <row r="160" spans="1:17" s="50" customFormat="1" ht="25" customHeight="1">
      <c r="A160" s="202" t="s">
        <v>287</v>
      </c>
      <c r="B160" s="199" t="s">
        <v>383</v>
      </c>
      <c r="C160" s="200">
        <v>3</v>
      </c>
      <c r="D160" s="200">
        <v>1</v>
      </c>
      <c r="E160" s="200">
        <v>16</v>
      </c>
      <c r="F160" s="180">
        <f t="shared" si="17"/>
        <v>1029.6000000000001</v>
      </c>
      <c r="G160" s="200">
        <v>70</v>
      </c>
      <c r="H160" s="175">
        <f t="shared" si="18"/>
        <v>3360</v>
      </c>
      <c r="I160" s="177">
        <f t="shared" si="19"/>
        <v>1029.6000000000001</v>
      </c>
      <c r="J160" s="197"/>
      <c r="K160" s="197"/>
      <c r="L160" s="197"/>
      <c r="M160" s="197"/>
      <c r="N160" s="197"/>
      <c r="O160" s="197"/>
      <c r="P160" s="197"/>
      <c r="Q160" s="180"/>
    </row>
    <row r="161" spans="1:17" s="50" customFormat="1" ht="25" customHeight="1">
      <c r="A161" s="202" t="s">
        <v>288</v>
      </c>
      <c r="B161" s="199" t="s">
        <v>384</v>
      </c>
      <c r="C161" s="200">
        <v>4</v>
      </c>
      <c r="D161" s="200">
        <v>1</v>
      </c>
      <c r="E161" s="200">
        <v>10</v>
      </c>
      <c r="F161" s="180">
        <f t="shared" si="17"/>
        <v>858</v>
      </c>
      <c r="G161" s="200">
        <v>70</v>
      </c>
      <c r="H161" s="175">
        <f t="shared" si="18"/>
        <v>2800</v>
      </c>
      <c r="I161" s="177">
        <f t="shared" si="19"/>
        <v>858</v>
      </c>
      <c r="J161" s="197"/>
      <c r="K161" s="197"/>
      <c r="L161" s="197"/>
      <c r="M161" s="197"/>
      <c r="N161" s="197"/>
      <c r="O161" s="197"/>
      <c r="P161" s="197"/>
      <c r="Q161" s="180"/>
    </row>
    <row r="162" spans="1:17" s="50" customFormat="1" ht="25" customHeight="1">
      <c r="A162" s="202" t="s">
        <v>289</v>
      </c>
      <c r="B162" s="199" t="s">
        <v>385</v>
      </c>
      <c r="C162" s="200">
        <v>4</v>
      </c>
      <c r="D162" s="200">
        <v>1</v>
      </c>
      <c r="E162" s="200">
        <v>13</v>
      </c>
      <c r="F162" s="180">
        <f t="shared" si="17"/>
        <v>1115.4000000000001</v>
      </c>
      <c r="G162" s="200">
        <v>70</v>
      </c>
      <c r="H162" s="175">
        <f t="shared" si="18"/>
        <v>3640</v>
      </c>
      <c r="I162" s="177">
        <f t="shared" si="19"/>
        <v>1115.4000000000001</v>
      </c>
      <c r="J162" s="197"/>
      <c r="K162" s="197"/>
      <c r="L162" s="197"/>
      <c r="M162" s="197"/>
      <c r="N162" s="197"/>
      <c r="O162" s="197"/>
      <c r="P162" s="197"/>
      <c r="Q162" s="180"/>
    </row>
    <row r="163" spans="1:17" s="50" customFormat="1" ht="25" customHeight="1">
      <c r="A163" s="202" t="s">
        <v>290</v>
      </c>
      <c r="B163" s="199" t="s">
        <v>386</v>
      </c>
      <c r="C163" s="200">
        <v>4</v>
      </c>
      <c r="D163" s="200">
        <v>1</v>
      </c>
      <c r="E163" s="200">
        <v>16</v>
      </c>
      <c r="F163" s="180">
        <f t="shared" si="17"/>
        <v>1372.8</v>
      </c>
      <c r="G163" s="200">
        <v>70</v>
      </c>
      <c r="H163" s="175">
        <f t="shared" si="18"/>
        <v>4480</v>
      </c>
      <c r="I163" s="177">
        <f t="shared" si="19"/>
        <v>1372.8</v>
      </c>
      <c r="J163" s="197"/>
      <c r="K163" s="197"/>
      <c r="L163" s="197"/>
      <c r="M163" s="197"/>
      <c r="N163" s="197"/>
      <c r="O163" s="197"/>
      <c r="P163" s="197"/>
      <c r="Q163" s="180"/>
    </row>
    <row r="164" spans="1:17" s="50" customFormat="1" ht="25" customHeight="1">
      <c r="A164" s="202"/>
      <c r="B164" s="206" t="s">
        <v>387</v>
      </c>
      <c r="C164" s="207">
        <f>SUM(C149:C163)</f>
        <v>52</v>
      </c>
      <c r="D164" s="207">
        <f t="shared" ref="D164:I164" si="20">SUM(D149:D163)</f>
        <v>15</v>
      </c>
      <c r="E164" s="207">
        <f t="shared" si="20"/>
        <v>203</v>
      </c>
      <c r="F164" s="200">
        <f t="shared" si="20"/>
        <v>14800.5</v>
      </c>
      <c r="G164" s="207">
        <f t="shared" si="20"/>
        <v>1060</v>
      </c>
      <c r="H164" s="207">
        <f t="shared" si="20"/>
        <v>48620</v>
      </c>
      <c r="I164" s="207">
        <f t="shared" si="20"/>
        <v>14800.5</v>
      </c>
      <c r="J164" s="207">
        <f>SUM(J149:J163)</f>
        <v>0</v>
      </c>
      <c r="K164" s="207">
        <f>SUM(K149:K163)</f>
        <v>0</v>
      </c>
      <c r="L164" s="197"/>
      <c r="M164" s="197"/>
      <c r="N164" s="197"/>
      <c r="O164" s="197"/>
      <c r="P164" s="197"/>
      <c r="Q164" s="180"/>
    </row>
    <row r="165" spans="1:17" s="50" customFormat="1" ht="25" customHeight="1">
      <c r="A165" s="208"/>
      <c r="B165" s="209" t="s">
        <v>388</v>
      </c>
      <c r="C165" s="210">
        <f t="shared" ref="C165:K165" si="21">C126+C164+C146</f>
        <v>55</v>
      </c>
      <c r="D165" s="210">
        <f t="shared" si="21"/>
        <v>16</v>
      </c>
      <c r="E165" s="210">
        <f t="shared" si="21"/>
        <v>219</v>
      </c>
      <c r="F165" s="246">
        <f t="shared" si="21"/>
        <v>59096.850000000006</v>
      </c>
      <c r="G165" s="210">
        <f t="shared" si="21"/>
        <v>2512</v>
      </c>
      <c r="H165" s="210">
        <f t="shared" si="21"/>
        <v>242109.56</v>
      </c>
      <c r="I165" s="210">
        <f t="shared" si="21"/>
        <v>58898.850000000006</v>
      </c>
      <c r="J165" s="210">
        <f t="shared" si="21"/>
        <v>198</v>
      </c>
      <c r="K165" s="210">
        <f t="shared" si="21"/>
        <v>0</v>
      </c>
      <c r="L165" s="191">
        <f>'Bieu3 GDMN'!F25</f>
        <v>2700</v>
      </c>
      <c r="M165" s="191">
        <f>'Bieu3 GDMN'!N25</f>
        <v>2376</v>
      </c>
      <c r="N165" s="190">
        <f>I165-M165</f>
        <v>56522.850000000006</v>
      </c>
      <c r="O165" s="191">
        <f>'Bieu3 GDMN'!O25</f>
        <v>1709.75</v>
      </c>
      <c r="P165" s="191">
        <f>'Bieu3 GDMN'!P25</f>
        <v>960</v>
      </c>
      <c r="Q165" s="192"/>
    </row>
    <row r="166" spans="1:17" s="50" customFormat="1" ht="25" customHeight="1">
      <c r="A166" s="211"/>
      <c r="B166" s="212"/>
      <c r="C166" s="213"/>
      <c r="D166" s="213"/>
      <c r="E166" s="213"/>
      <c r="F166" s="213"/>
      <c r="G166" s="213"/>
      <c r="H166" s="213"/>
      <c r="I166" s="214"/>
      <c r="J166" s="178"/>
      <c r="K166" s="178"/>
      <c r="L166" s="178"/>
      <c r="M166" s="178"/>
      <c r="N166" s="178"/>
      <c r="O166" s="178"/>
      <c r="P166" s="178"/>
      <c r="Q166" s="179"/>
    </row>
    <row r="167" spans="1:17" s="50" customFormat="1" ht="25" customHeight="1">
      <c r="A167" s="215" t="s">
        <v>417</v>
      </c>
      <c r="B167" s="215" t="s">
        <v>418</v>
      </c>
      <c r="C167" s="216"/>
      <c r="D167" s="216"/>
      <c r="E167" s="216"/>
      <c r="F167" s="247"/>
      <c r="G167" s="216"/>
      <c r="H167" s="213"/>
      <c r="I167" s="214"/>
      <c r="J167" s="178"/>
      <c r="K167" s="178"/>
      <c r="L167" s="178"/>
      <c r="M167" s="178"/>
      <c r="N167" s="178"/>
      <c r="O167" s="178"/>
      <c r="P167" s="178"/>
      <c r="Q167" s="179"/>
    </row>
    <row r="168" spans="1:17" s="50" customFormat="1" ht="25" customHeight="1">
      <c r="A168" s="217" t="s">
        <v>6</v>
      </c>
      <c r="B168" s="217" t="s">
        <v>221</v>
      </c>
      <c r="C168" s="216"/>
      <c r="D168" s="216"/>
      <c r="E168" s="216"/>
      <c r="F168" s="247"/>
      <c r="G168" s="216"/>
      <c r="H168" s="213"/>
      <c r="I168" s="214"/>
      <c r="J168" s="178"/>
      <c r="K168" s="178"/>
      <c r="L168" s="178"/>
      <c r="M168" s="178"/>
      <c r="N168" s="178"/>
      <c r="O168" s="178"/>
      <c r="P168" s="178"/>
      <c r="Q168" s="179"/>
    </row>
    <row r="169" spans="1:17" s="50" customFormat="1" ht="25" customHeight="1">
      <c r="A169" s="217">
        <v>1</v>
      </c>
      <c r="B169" s="217" t="s">
        <v>4</v>
      </c>
      <c r="C169" s="216"/>
      <c r="D169" s="216"/>
      <c r="E169" s="216"/>
      <c r="F169" s="247"/>
      <c r="G169" s="216"/>
      <c r="H169" s="213"/>
      <c r="I169" s="214"/>
      <c r="J169" s="178"/>
      <c r="K169" s="178"/>
      <c r="L169" s="178"/>
      <c r="M169" s="178"/>
      <c r="N169" s="178"/>
      <c r="O169" s="178"/>
      <c r="P169" s="178"/>
      <c r="Q169" s="179"/>
    </row>
    <row r="170" spans="1:17" s="50" customFormat="1" ht="25" customHeight="1">
      <c r="A170" s="218" t="s">
        <v>145</v>
      </c>
      <c r="B170" s="219" t="s">
        <v>159</v>
      </c>
      <c r="C170" s="220"/>
      <c r="D170" s="220"/>
      <c r="E170" s="220"/>
      <c r="F170" s="224"/>
      <c r="G170" s="220"/>
      <c r="H170" s="213"/>
      <c r="I170" s="214"/>
      <c r="J170" s="178"/>
      <c r="K170" s="178"/>
      <c r="L170" s="178"/>
      <c r="M170" s="178"/>
      <c r="N170" s="178"/>
      <c r="O170" s="178"/>
      <c r="P170" s="178"/>
      <c r="Q170" s="179"/>
    </row>
    <row r="171" spans="1:17" s="50" customFormat="1" ht="25" customHeight="1">
      <c r="A171" s="269" t="s">
        <v>224</v>
      </c>
      <c r="B171" s="270" t="s">
        <v>664</v>
      </c>
      <c r="C171" s="355">
        <v>4</v>
      </c>
      <c r="D171" s="297">
        <v>1</v>
      </c>
      <c r="E171" s="355">
        <v>13</v>
      </c>
      <c r="F171" s="180">
        <f t="shared" ref="F171:F184" si="22">I171+J171+K171</f>
        <v>858</v>
      </c>
      <c r="G171" s="221">
        <v>50</v>
      </c>
      <c r="H171" s="175">
        <f>C171*D171*E171*G171</f>
        <v>2600</v>
      </c>
      <c r="I171" s="177">
        <f>IF(G171&lt;70, C171*E171*16.5*1, C171*E171*16.5*1.3)</f>
        <v>858</v>
      </c>
      <c r="J171" s="178"/>
      <c r="K171" s="178"/>
      <c r="L171" s="178"/>
      <c r="M171" s="178"/>
      <c r="N171" s="178"/>
      <c r="O171" s="178"/>
      <c r="P171" s="178"/>
      <c r="Q171" s="179"/>
    </row>
    <row r="172" spans="1:17" s="50" customFormat="1" ht="25" customHeight="1">
      <c r="A172" s="269" t="s">
        <v>225</v>
      </c>
      <c r="B172" s="270" t="s">
        <v>665</v>
      </c>
      <c r="C172" s="296">
        <v>3</v>
      </c>
      <c r="D172" s="356">
        <v>1</v>
      </c>
      <c r="E172" s="296">
        <v>7</v>
      </c>
      <c r="F172" s="180">
        <f t="shared" si="22"/>
        <v>450.45</v>
      </c>
      <c r="G172" s="222">
        <v>70</v>
      </c>
      <c r="H172" s="175">
        <f t="shared" ref="H172:H184" si="23">C172*D172*E172*G172</f>
        <v>1470</v>
      </c>
      <c r="I172" s="177">
        <f t="shared" ref="I172:I182" si="24">IF(G172&lt;70, C172*E172*16.5*1, C172*E172*16.5*1.3)</f>
        <v>450.45</v>
      </c>
      <c r="J172" s="178"/>
      <c r="K172" s="178"/>
      <c r="L172" s="178"/>
      <c r="M172" s="178"/>
      <c r="N172" s="178"/>
      <c r="O172" s="178"/>
      <c r="P172" s="178"/>
      <c r="Q172" s="179"/>
    </row>
    <row r="173" spans="1:17" s="50" customFormat="1" ht="25" customHeight="1">
      <c r="A173" s="269" t="s">
        <v>227</v>
      </c>
      <c r="B173" s="270" t="s">
        <v>666</v>
      </c>
      <c r="C173" s="296">
        <v>5</v>
      </c>
      <c r="D173" s="356">
        <v>1</v>
      </c>
      <c r="E173" s="296">
        <v>6</v>
      </c>
      <c r="F173" s="180">
        <f t="shared" si="22"/>
        <v>643.5</v>
      </c>
      <c r="G173" s="222">
        <v>70</v>
      </c>
      <c r="H173" s="175">
        <f t="shared" si="23"/>
        <v>2100</v>
      </c>
      <c r="I173" s="177">
        <f t="shared" si="24"/>
        <v>643.5</v>
      </c>
      <c r="J173" s="178"/>
      <c r="K173" s="178"/>
      <c r="L173" s="178"/>
      <c r="M173" s="178"/>
      <c r="N173" s="178"/>
      <c r="O173" s="178"/>
      <c r="P173" s="178"/>
      <c r="Q173" s="179"/>
    </row>
    <row r="174" spans="1:17" s="50" customFormat="1" ht="25" customHeight="1">
      <c r="A174" s="269" t="s">
        <v>228</v>
      </c>
      <c r="B174" s="270" t="s">
        <v>667</v>
      </c>
      <c r="C174" s="296">
        <v>2</v>
      </c>
      <c r="D174" s="356">
        <v>1</v>
      </c>
      <c r="E174" s="296">
        <v>1</v>
      </c>
      <c r="F174" s="180">
        <f t="shared" si="22"/>
        <v>33</v>
      </c>
      <c r="G174" s="222">
        <v>50</v>
      </c>
      <c r="H174" s="175">
        <f t="shared" si="23"/>
        <v>100</v>
      </c>
      <c r="I174" s="177">
        <f t="shared" si="24"/>
        <v>33</v>
      </c>
      <c r="J174" s="178"/>
      <c r="K174" s="178"/>
      <c r="L174" s="178"/>
      <c r="M174" s="178"/>
      <c r="N174" s="178"/>
      <c r="O174" s="178"/>
      <c r="P174" s="178"/>
      <c r="Q174" s="179"/>
    </row>
    <row r="175" spans="1:17" s="50" customFormat="1" ht="25" customHeight="1">
      <c r="A175" s="269" t="s">
        <v>229</v>
      </c>
      <c r="B175" s="270" t="s">
        <v>406</v>
      </c>
      <c r="C175" s="296">
        <v>2</v>
      </c>
      <c r="D175" s="356">
        <v>1</v>
      </c>
      <c r="E175" s="296">
        <v>1</v>
      </c>
      <c r="F175" s="180">
        <f t="shared" si="22"/>
        <v>33</v>
      </c>
      <c r="G175" s="222">
        <v>55</v>
      </c>
      <c r="H175" s="175">
        <f t="shared" si="23"/>
        <v>110</v>
      </c>
      <c r="I175" s="177">
        <f t="shared" si="24"/>
        <v>33</v>
      </c>
      <c r="J175" s="178"/>
      <c r="K175" s="178"/>
      <c r="L175" s="178"/>
      <c r="M175" s="178"/>
      <c r="N175" s="178"/>
      <c r="O175" s="178"/>
      <c r="P175" s="178"/>
      <c r="Q175" s="179"/>
    </row>
    <row r="176" spans="1:17" s="50" customFormat="1" ht="25" customHeight="1">
      <c r="A176" s="269" t="s">
        <v>283</v>
      </c>
      <c r="B176" s="270" t="s">
        <v>668</v>
      </c>
      <c r="C176" s="357">
        <v>3</v>
      </c>
      <c r="D176" s="356">
        <v>1</v>
      </c>
      <c r="E176" s="357">
        <v>1</v>
      </c>
      <c r="F176" s="180">
        <f t="shared" si="22"/>
        <v>49.5</v>
      </c>
      <c r="G176" s="222">
        <v>30</v>
      </c>
      <c r="H176" s="175">
        <f t="shared" si="23"/>
        <v>90</v>
      </c>
      <c r="I176" s="177">
        <f t="shared" si="24"/>
        <v>49.5</v>
      </c>
      <c r="J176" s="178"/>
      <c r="K176" s="178"/>
      <c r="L176" s="178"/>
      <c r="M176" s="178"/>
      <c r="N176" s="178"/>
      <c r="O176" s="178"/>
      <c r="P176" s="178"/>
      <c r="Q176" s="179"/>
    </row>
    <row r="177" spans="1:17" s="50" customFormat="1" ht="25" customHeight="1">
      <c r="A177" s="269" t="s">
        <v>284</v>
      </c>
      <c r="B177" s="270" t="s">
        <v>407</v>
      </c>
      <c r="C177" s="357">
        <v>2</v>
      </c>
      <c r="D177" s="356">
        <v>1</v>
      </c>
      <c r="E177" s="357">
        <v>1</v>
      </c>
      <c r="F177" s="180">
        <f t="shared" si="22"/>
        <v>33</v>
      </c>
      <c r="G177" s="222">
        <v>30</v>
      </c>
      <c r="H177" s="175">
        <f t="shared" si="23"/>
        <v>60</v>
      </c>
      <c r="I177" s="177">
        <f t="shared" si="24"/>
        <v>33</v>
      </c>
      <c r="J177" s="178"/>
      <c r="K177" s="178"/>
      <c r="L177" s="178"/>
      <c r="M177" s="178"/>
      <c r="N177" s="178"/>
      <c r="O177" s="178"/>
      <c r="P177" s="178"/>
      <c r="Q177" s="179"/>
    </row>
    <row r="178" spans="1:17" s="50" customFormat="1" ht="25" customHeight="1">
      <c r="A178" s="269" t="s">
        <v>287</v>
      </c>
      <c r="B178" s="270" t="s">
        <v>669</v>
      </c>
      <c r="C178" s="357">
        <v>2</v>
      </c>
      <c r="D178" s="356">
        <v>1</v>
      </c>
      <c r="E178" s="357">
        <v>1</v>
      </c>
      <c r="F178" s="180">
        <f t="shared" si="22"/>
        <v>33</v>
      </c>
      <c r="G178" s="222">
        <v>40</v>
      </c>
      <c r="H178" s="175">
        <f t="shared" si="23"/>
        <v>80</v>
      </c>
      <c r="I178" s="177">
        <f t="shared" si="24"/>
        <v>33</v>
      </c>
      <c r="J178" s="178"/>
      <c r="K178" s="178"/>
      <c r="L178" s="178"/>
      <c r="M178" s="178"/>
      <c r="N178" s="178"/>
      <c r="O178" s="178"/>
      <c r="P178" s="178"/>
      <c r="Q178" s="179"/>
    </row>
    <row r="179" spans="1:17" s="50" customFormat="1" ht="25" customHeight="1">
      <c r="A179" s="269" t="s">
        <v>288</v>
      </c>
      <c r="B179" s="270" t="s">
        <v>670</v>
      </c>
      <c r="C179" s="357">
        <v>2</v>
      </c>
      <c r="D179" s="356">
        <v>1</v>
      </c>
      <c r="E179" s="357">
        <v>1</v>
      </c>
      <c r="F179" s="180">
        <f t="shared" si="22"/>
        <v>33</v>
      </c>
      <c r="G179" s="223">
        <v>40</v>
      </c>
      <c r="H179" s="175">
        <f t="shared" si="23"/>
        <v>80</v>
      </c>
      <c r="I179" s="177">
        <f t="shared" si="24"/>
        <v>33</v>
      </c>
      <c r="J179" s="178"/>
      <c r="K179" s="178"/>
      <c r="L179" s="178"/>
      <c r="M179" s="178"/>
      <c r="N179" s="178"/>
      <c r="O179" s="178"/>
      <c r="P179" s="178"/>
      <c r="Q179" s="179"/>
    </row>
    <row r="180" spans="1:17" s="50" customFormat="1" ht="25" customHeight="1">
      <c r="A180" s="269" t="s">
        <v>289</v>
      </c>
      <c r="B180" s="270" t="s">
        <v>408</v>
      </c>
      <c r="C180" s="357">
        <v>1</v>
      </c>
      <c r="D180" s="272">
        <v>1.4</v>
      </c>
      <c r="E180" s="357">
        <v>6</v>
      </c>
      <c r="F180" s="180">
        <f t="shared" si="22"/>
        <v>99</v>
      </c>
      <c r="G180" s="223">
        <v>40</v>
      </c>
      <c r="H180" s="175">
        <f t="shared" si="23"/>
        <v>335.99999999999994</v>
      </c>
      <c r="I180" s="177">
        <f t="shared" si="24"/>
        <v>99</v>
      </c>
      <c r="J180" s="178"/>
      <c r="K180" s="178"/>
      <c r="L180" s="178"/>
      <c r="M180" s="178"/>
      <c r="N180" s="178"/>
      <c r="O180" s="178"/>
      <c r="P180" s="178"/>
      <c r="Q180" s="179"/>
    </row>
    <row r="181" spans="1:17" s="50" customFormat="1" ht="25" customHeight="1">
      <c r="A181" s="269" t="s">
        <v>290</v>
      </c>
      <c r="B181" s="296" t="s">
        <v>409</v>
      </c>
      <c r="C181" s="357">
        <v>1</v>
      </c>
      <c r="D181" s="272">
        <v>1.4</v>
      </c>
      <c r="E181" s="357">
        <v>14</v>
      </c>
      <c r="F181" s="180">
        <f t="shared" si="22"/>
        <v>300.3</v>
      </c>
      <c r="G181" s="223">
        <v>80</v>
      </c>
      <c r="H181" s="175">
        <f t="shared" si="23"/>
        <v>1567.9999999999998</v>
      </c>
      <c r="I181" s="177">
        <f t="shared" si="24"/>
        <v>300.3</v>
      </c>
      <c r="J181" s="178"/>
      <c r="K181" s="178"/>
      <c r="L181" s="178"/>
      <c r="M181" s="178"/>
      <c r="N181" s="178"/>
      <c r="O181" s="178"/>
      <c r="P181" s="178"/>
      <c r="Q181" s="179"/>
    </row>
    <row r="182" spans="1:17" s="50" customFormat="1" ht="25" customHeight="1">
      <c r="A182" s="274"/>
      <c r="B182" s="284" t="s">
        <v>375</v>
      </c>
      <c r="C182" s="287">
        <f>SUM(C171:C181)</f>
        <v>27</v>
      </c>
      <c r="D182" s="287">
        <f>SUM(D171:D181)</f>
        <v>11.8</v>
      </c>
      <c r="E182" s="287">
        <f>SUM(E171:E181)</f>
        <v>52</v>
      </c>
      <c r="F182" s="180">
        <f t="shared" si="22"/>
        <v>30115.8</v>
      </c>
      <c r="G182" s="223">
        <v>80</v>
      </c>
      <c r="H182" s="175">
        <f t="shared" si="23"/>
        <v>1325376</v>
      </c>
      <c r="I182" s="177">
        <f t="shared" si="24"/>
        <v>30115.8</v>
      </c>
      <c r="J182" s="178"/>
      <c r="K182" s="178"/>
      <c r="L182" s="178"/>
      <c r="M182" s="178"/>
      <c r="N182" s="178"/>
      <c r="O182" s="178"/>
      <c r="P182" s="178"/>
      <c r="Q182" s="179"/>
    </row>
    <row r="183" spans="1:17" s="50" customFormat="1" ht="25" customHeight="1">
      <c r="A183" s="358">
        <v>2</v>
      </c>
      <c r="B183" s="358" t="s">
        <v>162</v>
      </c>
      <c r="C183" s="272"/>
      <c r="D183" s="272"/>
      <c r="E183" s="272"/>
      <c r="F183" s="180">
        <f t="shared" si="22"/>
        <v>0</v>
      </c>
      <c r="G183" s="223">
        <v>36</v>
      </c>
      <c r="H183" s="175">
        <f t="shared" si="23"/>
        <v>0</v>
      </c>
      <c r="I183" s="177">
        <f>E183*15</f>
        <v>0</v>
      </c>
      <c r="J183" s="178"/>
      <c r="K183" s="178"/>
      <c r="L183" s="178"/>
      <c r="M183" s="178"/>
      <c r="N183" s="178"/>
      <c r="O183" s="178"/>
      <c r="P183" s="178"/>
      <c r="Q183" s="179"/>
    </row>
    <row r="184" spans="1:17" s="50" customFormat="1" ht="25" customHeight="1">
      <c r="A184" s="317" t="s">
        <v>145</v>
      </c>
      <c r="B184" s="318" t="s">
        <v>163</v>
      </c>
      <c r="C184" s="272"/>
      <c r="D184" s="272"/>
      <c r="E184" s="272"/>
      <c r="F184" s="180">
        <f t="shared" si="22"/>
        <v>0</v>
      </c>
      <c r="G184" s="223">
        <v>20</v>
      </c>
      <c r="H184" s="175">
        <f t="shared" si="23"/>
        <v>0</v>
      </c>
      <c r="I184" s="177">
        <f>E184*15</f>
        <v>0</v>
      </c>
      <c r="J184" s="178"/>
      <c r="K184" s="178"/>
      <c r="L184" s="178"/>
      <c r="M184" s="178"/>
      <c r="N184" s="178"/>
      <c r="O184" s="178"/>
      <c r="P184" s="178"/>
      <c r="Q184" s="179"/>
    </row>
    <row r="185" spans="1:17" s="50" customFormat="1" ht="25" customHeight="1">
      <c r="A185" s="269" t="s">
        <v>224</v>
      </c>
      <c r="B185" s="270" t="s">
        <v>410</v>
      </c>
      <c r="C185" s="296">
        <v>3</v>
      </c>
      <c r="D185" s="356">
        <v>1</v>
      </c>
      <c r="E185" s="357">
        <v>3</v>
      </c>
      <c r="F185" s="200">
        <f>SUM(F171:F184)</f>
        <v>32681.55</v>
      </c>
      <c r="G185" s="207">
        <f>SUM(G171:G184)</f>
        <v>691</v>
      </c>
      <c r="H185" s="207">
        <f>SUM(H171:H184)</f>
        <v>1333970</v>
      </c>
      <c r="I185" s="207">
        <f>SUM(I171:I184)</f>
        <v>32681.55</v>
      </c>
      <c r="J185" s="178"/>
      <c r="K185" s="178"/>
      <c r="L185" s="178"/>
      <c r="M185" s="178"/>
      <c r="N185" s="178"/>
      <c r="O185" s="178"/>
      <c r="P185" s="178"/>
      <c r="Q185" s="179"/>
    </row>
    <row r="186" spans="1:17" s="50" customFormat="1" ht="25" customHeight="1">
      <c r="A186" s="269" t="s">
        <v>225</v>
      </c>
      <c r="B186" s="270" t="s">
        <v>411</v>
      </c>
      <c r="C186" s="296">
        <v>3</v>
      </c>
      <c r="D186" s="356">
        <v>1</v>
      </c>
      <c r="E186" s="357">
        <v>1</v>
      </c>
      <c r="F186" s="224"/>
      <c r="G186" s="224"/>
      <c r="H186" s="213"/>
      <c r="I186" s="214"/>
      <c r="J186" s="178"/>
      <c r="K186" s="178"/>
      <c r="L186" s="178"/>
      <c r="M186" s="178"/>
      <c r="N186" s="178"/>
      <c r="O186" s="178"/>
      <c r="P186" s="178"/>
      <c r="Q186" s="179"/>
    </row>
    <row r="187" spans="1:17" s="50" customFormat="1" ht="25" customHeight="1">
      <c r="A187" s="269" t="s">
        <v>226</v>
      </c>
      <c r="B187" s="285" t="s">
        <v>412</v>
      </c>
      <c r="C187" s="296">
        <v>3</v>
      </c>
      <c r="D187" s="356">
        <v>1</v>
      </c>
      <c r="E187" s="357">
        <v>1</v>
      </c>
      <c r="F187" s="224"/>
      <c r="G187" s="224"/>
      <c r="H187" s="213"/>
      <c r="I187" s="214"/>
      <c r="J187" s="178"/>
      <c r="K187" s="178"/>
      <c r="L187" s="178"/>
      <c r="M187" s="178"/>
      <c r="N187" s="178"/>
      <c r="O187" s="178"/>
      <c r="P187" s="178"/>
      <c r="Q187" s="179"/>
    </row>
    <row r="188" spans="1:17" s="50" customFormat="1" ht="25" customHeight="1">
      <c r="A188" s="269" t="s">
        <v>227</v>
      </c>
      <c r="B188" s="270" t="s">
        <v>413</v>
      </c>
      <c r="C188" s="296">
        <v>3</v>
      </c>
      <c r="D188" s="356">
        <v>1</v>
      </c>
      <c r="E188" s="357">
        <v>1</v>
      </c>
      <c r="F188" s="180">
        <f t="shared" ref="F188:F194" si="25">I188+J188+K188</f>
        <v>74.25</v>
      </c>
      <c r="G188" s="222">
        <v>15</v>
      </c>
      <c r="H188" s="175">
        <f>C188*D188*E188*G188</f>
        <v>45</v>
      </c>
      <c r="I188" s="177">
        <f t="shared" ref="I188:I194" si="26">IF(G188&lt;70, C188*E188*16.5*1*1.5, C188*E188*16.5*1.3*1.5)</f>
        <v>74.25</v>
      </c>
      <c r="J188" s="178"/>
      <c r="K188" s="178"/>
      <c r="L188" s="178"/>
      <c r="M188" s="178"/>
      <c r="N188" s="178"/>
      <c r="O188" s="178"/>
      <c r="P188" s="178"/>
      <c r="Q188" s="179"/>
    </row>
    <row r="189" spans="1:17" s="50" customFormat="1" ht="25" customHeight="1">
      <c r="A189" s="269" t="s">
        <v>228</v>
      </c>
      <c r="B189" s="273" t="s">
        <v>414</v>
      </c>
      <c r="C189" s="296">
        <v>3</v>
      </c>
      <c r="D189" s="356">
        <v>1</v>
      </c>
      <c r="E189" s="357">
        <v>3</v>
      </c>
      <c r="F189" s="180">
        <f t="shared" si="25"/>
        <v>222.75</v>
      </c>
      <c r="G189" s="222">
        <v>10</v>
      </c>
      <c r="H189" s="175">
        <f t="shared" ref="H189:H194" si="27">C189*D189*E189*G189</f>
        <v>90</v>
      </c>
      <c r="I189" s="177">
        <f t="shared" si="26"/>
        <v>222.75</v>
      </c>
      <c r="J189" s="178"/>
      <c r="K189" s="178"/>
      <c r="L189" s="178"/>
      <c r="M189" s="178"/>
      <c r="N189" s="178"/>
      <c r="O189" s="178"/>
      <c r="P189" s="178"/>
      <c r="Q189" s="179"/>
    </row>
    <row r="190" spans="1:17" s="50" customFormat="1" ht="25" customHeight="1">
      <c r="A190" s="269" t="s">
        <v>229</v>
      </c>
      <c r="B190" s="273" t="s">
        <v>415</v>
      </c>
      <c r="C190" s="296">
        <v>3</v>
      </c>
      <c r="D190" s="356">
        <v>1</v>
      </c>
      <c r="E190" s="357">
        <v>1</v>
      </c>
      <c r="F190" s="180">
        <f t="shared" si="25"/>
        <v>74.25</v>
      </c>
      <c r="G190" s="222">
        <v>10</v>
      </c>
      <c r="H190" s="175">
        <f t="shared" si="27"/>
        <v>30</v>
      </c>
      <c r="I190" s="177">
        <f t="shared" si="26"/>
        <v>74.25</v>
      </c>
      <c r="J190" s="178"/>
      <c r="K190" s="178"/>
      <c r="L190" s="178"/>
      <c r="M190" s="178"/>
      <c r="N190" s="178"/>
      <c r="O190" s="178"/>
      <c r="P190" s="178"/>
      <c r="Q190" s="179"/>
    </row>
    <row r="191" spans="1:17" s="50" customFormat="1" ht="25" customHeight="1">
      <c r="A191" s="269" t="s">
        <v>280</v>
      </c>
      <c r="B191" s="273" t="s">
        <v>416</v>
      </c>
      <c r="C191" s="296">
        <v>3</v>
      </c>
      <c r="D191" s="356">
        <v>1</v>
      </c>
      <c r="E191" s="357">
        <v>3</v>
      </c>
      <c r="F191" s="180">
        <f t="shared" si="25"/>
        <v>222.75</v>
      </c>
      <c r="G191" s="222">
        <v>10</v>
      </c>
      <c r="H191" s="175">
        <f t="shared" si="27"/>
        <v>90</v>
      </c>
      <c r="I191" s="177">
        <f t="shared" si="26"/>
        <v>222.75</v>
      </c>
      <c r="J191" s="178"/>
      <c r="K191" s="178"/>
      <c r="L191" s="178"/>
      <c r="M191" s="178"/>
      <c r="N191" s="178"/>
      <c r="O191" s="178"/>
      <c r="P191" s="178"/>
      <c r="Q191" s="179"/>
    </row>
    <row r="192" spans="1:17" s="50" customFormat="1" ht="25" customHeight="1">
      <c r="A192" s="274"/>
      <c r="B192" s="359" t="s">
        <v>375</v>
      </c>
      <c r="C192" s="287">
        <f>SUM(C185:C191)</f>
        <v>21</v>
      </c>
      <c r="D192" s="287">
        <f>SUM(D185:D191)</f>
        <v>7</v>
      </c>
      <c r="E192" s="287">
        <f>SUM(E185:E191)</f>
        <v>13</v>
      </c>
      <c r="F192" s="180">
        <f t="shared" si="25"/>
        <v>6756.75</v>
      </c>
      <c r="G192" s="222">
        <v>15</v>
      </c>
      <c r="H192" s="175">
        <f t="shared" si="27"/>
        <v>28665</v>
      </c>
      <c r="I192" s="177">
        <f t="shared" si="26"/>
        <v>6756.75</v>
      </c>
      <c r="J192" s="178"/>
      <c r="K192" s="178"/>
      <c r="L192" s="178"/>
      <c r="M192" s="178"/>
      <c r="N192" s="178"/>
      <c r="O192" s="178"/>
      <c r="P192" s="178"/>
      <c r="Q192" s="179"/>
    </row>
    <row r="193" spans="1:17" s="50" customFormat="1" ht="25" customHeight="1">
      <c r="A193" s="358" t="s">
        <v>7</v>
      </c>
      <c r="B193" s="358" t="s">
        <v>222</v>
      </c>
      <c r="C193" s="272"/>
      <c r="D193" s="272"/>
      <c r="E193" s="272"/>
      <c r="F193" s="180">
        <f t="shared" si="25"/>
        <v>0</v>
      </c>
      <c r="G193" s="222">
        <v>10</v>
      </c>
      <c r="H193" s="175">
        <f t="shared" si="27"/>
        <v>0</v>
      </c>
      <c r="I193" s="177">
        <f t="shared" si="26"/>
        <v>0</v>
      </c>
      <c r="J193" s="178"/>
      <c r="K193" s="178"/>
      <c r="L193" s="178"/>
      <c r="M193" s="178"/>
      <c r="N193" s="178"/>
      <c r="O193" s="178"/>
      <c r="P193" s="178"/>
      <c r="Q193" s="179"/>
    </row>
    <row r="194" spans="1:17" s="50" customFormat="1" ht="25" customHeight="1">
      <c r="A194" s="358">
        <v>1</v>
      </c>
      <c r="B194" s="318" t="s">
        <v>223</v>
      </c>
      <c r="C194" s="272"/>
      <c r="D194" s="272"/>
      <c r="E194" s="272"/>
      <c r="F194" s="180">
        <f t="shared" si="25"/>
        <v>0</v>
      </c>
      <c r="G194" s="222">
        <v>15</v>
      </c>
      <c r="H194" s="175">
        <f t="shared" si="27"/>
        <v>0</v>
      </c>
      <c r="I194" s="177">
        <f t="shared" si="26"/>
        <v>0</v>
      </c>
      <c r="J194" s="178"/>
      <c r="K194" s="178"/>
      <c r="L194" s="178"/>
      <c r="M194" s="178"/>
      <c r="N194" s="178"/>
      <c r="O194" s="178"/>
      <c r="P194" s="178"/>
      <c r="Q194" s="179"/>
    </row>
    <row r="195" spans="1:17" s="50" customFormat="1" ht="25" customHeight="1">
      <c r="A195" s="358" t="s">
        <v>145</v>
      </c>
      <c r="B195" s="318" t="s">
        <v>161</v>
      </c>
      <c r="C195" s="272"/>
      <c r="D195" s="272"/>
      <c r="E195" s="272"/>
      <c r="F195" s="200">
        <f>SUM(F188:F194)</f>
        <v>7350.75</v>
      </c>
      <c r="G195" s="207">
        <f>SUM(G188:G194)</f>
        <v>85</v>
      </c>
      <c r="H195" s="207">
        <f>SUM(H188:H194)</f>
        <v>28920</v>
      </c>
      <c r="I195" s="207">
        <f>SUM(I188:I194)</f>
        <v>7350.75</v>
      </c>
      <c r="J195" s="178"/>
      <c r="K195" s="178"/>
      <c r="L195" s="178"/>
      <c r="M195" s="178"/>
      <c r="N195" s="178"/>
      <c r="O195" s="178"/>
      <c r="P195" s="178"/>
      <c r="Q195" s="179"/>
    </row>
    <row r="196" spans="1:17" s="50" customFormat="1" ht="25" customHeight="1">
      <c r="A196" s="313" t="s">
        <v>224</v>
      </c>
      <c r="B196" s="270" t="s">
        <v>671</v>
      </c>
      <c r="C196" s="357">
        <v>5</v>
      </c>
      <c r="D196" s="356">
        <v>1</v>
      </c>
      <c r="E196" s="272">
        <v>25</v>
      </c>
      <c r="F196" s="224"/>
      <c r="G196" s="224"/>
      <c r="H196" s="224"/>
      <c r="I196" s="225"/>
      <c r="J196" s="225"/>
      <c r="K196" s="225"/>
      <c r="L196" s="225"/>
      <c r="M196" s="225"/>
      <c r="N196" s="225"/>
      <c r="O196" s="225"/>
      <c r="P196" s="225"/>
      <c r="Q196" s="226"/>
    </row>
    <row r="197" spans="1:17" s="50" customFormat="1" ht="25" customHeight="1">
      <c r="A197" s="313" t="s">
        <v>225</v>
      </c>
      <c r="B197" s="270" t="s">
        <v>672</v>
      </c>
      <c r="C197" s="357">
        <v>5</v>
      </c>
      <c r="D197" s="356">
        <v>1</v>
      </c>
      <c r="E197" s="272">
        <v>26</v>
      </c>
      <c r="F197" s="224"/>
      <c r="G197" s="224"/>
      <c r="H197" s="224"/>
      <c r="I197" s="225"/>
      <c r="J197" s="225"/>
      <c r="K197" s="225"/>
      <c r="L197" s="225"/>
      <c r="M197" s="225"/>
      <c r="N197" s="225"/>
      <c r="O197" s="225"/>
      <c r="P197" s="225"/>
      <c r="Q197" s="226"/>
    </row>
    <row r="198" spans="1:17" s="50" customFormat="1" ht="25" customHeight="1">
      <c r="A198" s="274"/>
      <c r="B198" s="284" t="s">
        <v>375</v>
      </c>
      <c r="C198" s="287">
        <f>SUM(C196:C197)</f>
        <v>10</v>
      </c>
      <c r="D198" s="287">
        <f>SUM(D196:D197)</f>
        <v>2</v>
      </c>
      <c r="E198" s="287">
        <f>SUM(E196:E197)</f>
        <v>51</v>
      </c>
      <c r="F198" s="224"/>
      <c r="G198" s="224"/>
      <c r="H198" s="224"/>
      <c r="I198" s="225"/>
      <c r="J198" s="225"/>
      <c r="K198" s="225"/>
      <c r="L198" s="225"/>
      <c r="M198" s="225"/>
      <c r="N198" s="225"/>
      <c r="O198" s="225"/>
      <c r="P198" s="225"/>
      <c r="Q198" s="226"/>
    </row>
    <row r="199" spans="1:17" s="50" customFormat="1" ht="25" customHeight="1">
      <c r="A199" s="327"/>
      <c r="B199" s="332" t="s">
        <v>419</v>
      </c>
      <c r="C199" s="321">
        <f>C182+C192+C198</f>
        <v>58</v>
      </c>
      <c r="D199" s="321">
        <f>D182+D192+D198</f>
        <v>20.8</v>
      </c>
      <c r="E199" s="321">
        <f>E182+E192+E198</f>
        <v>116</v>
      </c>
      <c r="F199" s="180">
        <f>I199+J199+K199</f>
        <v>111012</v>
      </c>
      <c r="G199" s="224">
        <v>50</v>
      </c>
      <c r="H199" s="175">
        <f>C199*D199*E199*G199</f>
        <v>6997120.0000000009</v>
      </c>
      <c r="I199" s="177">
        <f>IF(G199&lt;70, C199*E199*16.5*1, C199*E199*16.5*1.3)</f>
        <v>111012</v>
      </c>
      <c r="J199" s="225"/>
      <c r="K199" s="225"/>
      <c r="L199" s="225"/>
      <c r="M199" s="225"/>
      <c r="N199" s="225"/>
      <c r="O199" s="225"/>
      <c r="P199" s="225"/>
      <c r="Q199" s="226"/>
    </row>
    <row r="200" spans="1:17" s="50" customFormat="1" ht="25" customHeight="1">
      <c r="A200" s="217" t="s">
        <v>426</v>
      </c>
      <c r="B200" s="252" t="s">
        <v>427</v>
      </c>
      <c r="C200" s="216"/>
      <c r="D200" s="216"/>
      <c r="E200" s="216"/>
      <c r="F200" s="247"/>
      <c r="G200" s="216"/>
      <c r="H200" s="216"/>
      <c r="I200" s="216"/>
      <c r="J200" s="178"/>
      <c r="K200" s="178"/>
      <c r="L200" s="178"/>
      <c r="M200" s="178"/>
      <c r="N200" s="178"/>
      <c r="O200" s="178"/>
      <c r="P200" s="178"/>
      <c r="Q200" s="179"/>
    </row>
    <row r="201" spans="1:17" s="50" customFormat="1" ht="25" customHeight="1">
      <c r="A201" s="217" t="s">
        <v>6</v>
      </c>
      <c r="B201" s="217" t="s">
        <v>221</v>
      </c>
      <c r="C201" s="216"/>
      <c r="D201" s="216"/>
      <c r="E201" s="216"/>
      <c r="F201" s="247"/>
      <c r="G201" s="216"/>
      <c r="H201" s="216"/>
      <c r="I201" s="216"/>
      <c r="J201" s="178"/>
      <c r="K201" s="178"/>
      <c r="L201" s="178"/>
      <c r="M201" s="178"/>
      <c r="N201" s="178"/>
      <c r="O201" s="178"/>
      <c r="P201" s="178"/>
      <c r="Q201" s="179"/>
    </row>
    <row r="202" spans="1:17" s="50" customFormat="1" ht="25" customHeight="1">
      <c r="A202" s="217">
        <v>1</v>
      </c>
      <c r="B202" s="217" t="s">
        <v>4</v>
      </c>
      <c r="C202" s="216"/>
      <c r="D202" s="216"/>
      <c r="E202" s="216"/>
      <c r="F202" s="247"/>
      <c r="G202" s="216"/>
      <c r="H202" s="216"/>
      <c r="I202" s="216"/>
      <c r="J202" s="178"/>
      <c r="K202" s="178"/>
      <c r="L202" s="178"/>
      <c r="M202" s="178"/>
      <c r="N202" s="178"/>
      <c r="O202" s="178"/>
      <c r="P202" s="178"/>
      <c r="Q202" s="179"/>
    </row>
    <row r="203" spans="1:17" s="50" customFormat="1" ht="25" customHeight="1">
      <c r="A203" s="269" t="s">
        <v>224</v>
      </c>
      <c r="B203" s="270" t="s">
        <v>673</v>
      </c>
      <c r="C203" s="271">
        <v>4</v>
      </c>
      <c r="D203" s="271">
        <v>1</v>
      </c>
      <c r="E203" s="271">
        <v>10</v>
      </c>
      <c r="F203" s="224"/>
      <c r="G203" s="220"/>
      <c r="H203" s="220"/>
      <c r="I203" s="227"/>
      <c r="J203" s="178"/>
      <c r="K203" s="178"/>
      <c r="L203" s="178"/>
      <c r="M203" s="178"/>
      <c r="N203" s="178"/>
      <c r="O203" s="178"/>
      <c r="P203" s="178"/>
      <c r="Q203" s="179"/>
    </row>
    <row r="204" spans="1:17" s="50" customFormat="1" ht="25" customHeight="1">
      <c r="A204" s="269" t="s">
        <v>225</v>
      </c>
      <c r="B204" s="270" t="s">
        <v>674</v>
      </c>
      <c r="C204" s="272">
        <v>3</v>
      </c>
      <c r="D204" s="272">
        <v>1</v>
      </c>
      <c r="E204" s="272">
        <v>4</v>
      </c>
      <c r="F204" s="180">
        <f t="shared" ref="F204:F210" si="28">I204+J204+K204</f>
        <v>257.40000000000003</v>
      </c>
      <c r="G204" s="228">
        <v>70</v>
      </c>
      <c r="H204" s="175">
        <f t="shared" ref="H204:H210" si="29">C204*D204*E204*G204</f>
        <v>840</v>
      </c>
      <c r="I204" s="177">
        <f t="shared" ref="I204:I210" si="30">IF(G204&lt;70, C204*E204*16.5*1, C204*E204*16.5*1.3)</f>
        <v>257.40000000000003</v>
      </c>
      <c r="J204" s="178"/>
      <c r="K204" s="178"/>
      <c r="L204" s="178"/>
      <c r="M204" s="178"/>
      <c r="N204" s="178"/>
      <c r="O204" s="178"/>
      <c r="P204" s="178"/>
      <c r="Q204" s="179"/>
    </row>
    <row r="205" spans="1:17" s="50" customFormat="1" ht="25" customHeight="1">
      <c r="A205" s="269" t="s">
        <v>226</v>
      </c>
      <c r="B205" s="285" t="s">
        <v>421</v>
      </c>
      <c r="C205" s="272">
        <v>3</v>
      </c>
      <c r="D205" s="272">
        <v>1</v>
      </c>
      <c r="E205" s="272">
        <v>3</v>
      </c>
      <c r="F205" s="180">
        <f t="shared" si="28"/>
        <v>193.05</v>
      </c>
      <c r="G205" s="224">
        <v>70</v>
      </c>
      <c r="H205" s="175">
        <f t="shared" si="29"/>
        <v>630</v>
      </c>
      <c r="I205" s="177">
        <f t="shared" si="30"/>
        <v>193.05</v>
      </c>
      <c r="J205" s="178"/>
      <c r="K205" s="178"/>
      <c r="L205" s="178"/>
      <c r="M205" s="178"/>
      <c r="N205" s="178"/>
      <c r="O205" s="178"/>
      <c r="P205" s="178"/>
      <c r="Q205" s="179"/>
    </row>
    <row r="206" spans="1:17" s="50" customFormat="1" ht="25" customHeight="1">
      <c r="A206" s="269" t="s">
        <v>227</v>
      </c>
      <c r="B206" s="285" t="s">
        <v>422</v>
      </c>
      <c r="C206" s="272">
        <v>4</v>
      </c>
      <c r="D206" s="272">
        <v>1</v>
      </c>
      <c r="E206" s="272">
        <v>3</v>
      </c>
      <c r="F206" s="180">
        <f t="shared" si="28"/>
        <v>257.40000000000003</v>
      </c>
      <c r="G206" s="224">
        <v>70</v>
      </c>
      <c r="H206" s="175">
        <f t="shared" si="29"/>
        <v>840</v>
      </c>
      <c r="I206" s="177">
        <f t="shared" si="30"/>
        <v>257.40000000000003</v>
      </c>
      <c r="J206" s="178"/>
      <c r="K206" s="178"/>
      <c r="L206" s="178"/>
      <c r="M206" s="178"/>
      <c r="N206" s="178"/>
      <c r="O206" s="178"/>
      <c r="P206" s="178"/>
      <c r="Q206" s="179"/>
    </row>
    <row r="207" spans="1:17" s="50" customFormat="1" ht="25" customHeight="1">
      <c r="A207" s="269" t="s">
        <v>228</v>
      </c>
      <c r="B207" s="285" t="s">
        <v>423</v>
      </c>
      <c r="C207" s="272">
        <v>4</v>
      </c>
      <c r="D207" s="272">
        <v>1</v>
      </c>
      <c r="E207" s="272">
        <v>4</v>
      </c>
      <c r="F207" s="180">
        <f t="shared" si="28"/>
        <v>343.2</v>
      </c>
      <c r="G207" s="224">
        <v>70</v>
      </c>
      <c r="H207" s="175">
        <f t="shared" si="29"/>
        <v>1120</v>
      </c>
      <c r="I207" s="177">
        <f t="shared" si="30"/>
        <v>343.2</v>
      </c>
      <c r="J207" s="178"/>
      <c r="K207" s="178"/>
      <c r="L207" s="178"/>
      <c r="M207" s="178"/>
      <c r="N207" s="178"/>
      <c r="O207" s="178"/>
      <c r="P207" s="178"/>
      <c r="Q207" s="179"/>
    </row>
    <row r="208" spans="1:17" s="50" customFormat="1" ht="25" customHeight="1">
      <c r="A208" s="269" t="s">
        <v>229</v>
      </c>
      <c r="B208" s="273" t="s">
        <v>424</v>
      </c>
      <c r="C208" s="272">
        <v>4</v>
      </c>
      <c r="D208" s="272">
        <v>1</v>
      </c>
      <c r="E208" s="272">
        <v>1</v>
      </c>
      <c r="F208" s="180">
        <f t="shared" si="28"/>
        <v>85.8</v>
      </c>
      <c r="G208" s="224">
        <v>70</v>
      </c>
      <c r="H208" s="175">
        <f t="shared" si="29"/>
        <v>280</v>
      </c>
      <c r="I208" s="177">
        <f t="shared" si="30"/>
        <v>85.8</v>
      </c>
      <c r="J208" s="178"/>
      <c r="K208" s="178"/>
      <c r="L208" s="178"/>
      <c r="M208" s="178"/>
      <c r="N208" s="178"/>
      <c r="O208" s="178"/>
      <c r="P208" s="178"/>
      <c r="Q208" s="179"/>
    </row>
    <row r="209" spans="1:17" s="50" customFormat="1" ht="25" customHeight="1">
      <c r="A209" s="269" t="s">
        <v>675</v>
      </c>
      <c r="B209" s="273" t="s">
        <v>676</v>
      </c>
      <c r="C209" s="272">
        <v>2</v>
      </c>
      <c r="D209" s="272">
        <v>1</v>
      </c>
      <c r="E209" s="272">
        <v>4</v>
      </c>
      <c r="F209" s="180">
        <f t="shared" si="28"/>
        <v>171.6</v>
      </c>
      <c r="G209" s="224">
        <v>70</v>
      </c>
      <c r="H209" s="175">
        <f t="shared" si="29"/>
        <v>560</v>
      </c>
      <c r="I209" s="177">
        <f t="shared" si="30"/>
        <v>171.6</v>
      </c>
      <c r="J209" s="178"/>
      <c r="K209" s="178"/>
      <c r="L209" s="178"/>
      <c r="M209" s="178"/>
      <c r="N209" s="178"/>
      <c r="O209" s="178"/>
      <c r="P209" s="178"/>
      <c r="Q209" s="179"/>
    </row>
    <row r="210" spans="1:17" s="50" customFormat="1" ht="25" customHeight="1">
      <c r="A210" s="269" t="s">
        <v>677</v>
      </c>
      <c r="B210" s="273" t="s">
        <v>678</v>
      </c>
      <c r="C210" s="272">
        <v>2</v>
      </c>
      <c r="D210" s="272">
        <v>1</v>
      </c>
      <c r="E210" s="272">
        <v>10</v>
      </c>
      <c r="F210" s="180">
        <f t="shared" si="28"/>
        <v>429</v>
      </c>
      <c r="G210" s="224">
        <v>70</v>
      </c>
      <c r="H210" s="175">
        <f t="shared" si="29"/>
        <v>1400</v>
      </c>
      <c r="I210" s="177">
        <f t="shared" si="30"/>
        <v>429</v>
      </c>
      <c r="J210" s="178"/>
      <c r="K210" s="178"/>
      <c r="L210" s="178"/>
      <c r="M210" s="178"/>
      <c r="N210" s="178"/>
      <c r="O210" s="178"/>
      <c r="P210" s="178"/>
      <c r="Q210" s="179"/>
    </row>
    <row r="211" spans="1:17" s="50" customFormat="1" ht="25" customHeight="1">
      <c r="A211" s="269" t="s">
        <v>280</v>
      </c>
      <c r="B211" s="273" t="s">
        <v>425</v>
      </c>
      <c r="C211" s="272">
        <v>3</v>
      </c>
      <c r="D211" s="272">
        <v>1</v>
      </c>
      <c r="E211" s="272">
        <v>4</v>
      </c>
      <c r="F211" s="200">
        <f>SUM(F204:F210)</f>
        <v>1737.45</v>
      </c>
      <c r="G211" s="207">
        <f>SUM(G204:G210)</f>
        <v>490</v>
      </c>
      <c r="H211" s="207">
        <f>SUM(H204:H210)</f>
        <v>5670</v>
      </c>
      <c r="I211" s="207">
        <f>SUM(I204:I210)</f>
        <v>1737.45</v>
      </c>
      <c r="J211" s="178"/>
      <c r="K211" s="178"/>
      <c r="L211" s="178"/>
      <c r="M211" s="178"/>
      <c r="N211" s="178"/>
      <c r="O211" s="178"/>
      <c r="P211" s="178"/>
      <c r="Q211" s="179"/>
    </row>
    <row r="212" spans="1:17" s="50" customFormat="1" ht="25" customHeight="1">
      <c r="A212" s="274"/>
      <c r="B212" s="284" t="s">
        <v>375</v>
      </c>
      <c r="C212" s="287">
        <f>SUM(C203:C211)</f>
        <v>29</v>
      </c>
      <c r="D212" s="287">
        <f>SUM(D203:D211)</f>
        <v>9</v>
      </c>
      <c r="E212" s="287">
        <f>SUM(E203:E211)</f>
        <v>43</v>
      </c>
      <c r="F212" s="224"/>
      <c r="G212" s="224"/>
      <c r="H212" s="224"/>
      <c r="I212" s="225"/>
      <c r="J212" s="225"/>
      <c r="K212" s="225"/>
      <c r="L212" s="225"/>
      <c r="M212" s="225"/>
      <c r="N212" s="178"/>
      <c r="O212" s="178"/>
      <c r="P212" s="178"/>
      <c r="Q212" s="179"/>
    </row>
    <row r="213" spans="1:17" s="50" customFormat="1" ht="25" customHeight="1">
      <c r="A213" s="311" t="s">
        <v>146</v>
      </c>
      <c r="B213" s="312" t="s">
        <v>149</v>
      </c>
      <c r="C213" s="272"/>
      <c r="D213" s="272"/>
      <c r="E213" s="272"/>
      <c r="F213" s="224"/>
      <c r="G213" s="224"/>
      <c r="H213" s="224"/>
      <c r="I213" s="225"/>
      <c r="J213" s="225"/>
      <c r="K213" s="225"/>
      <c r="L213" s="225"/>
      <c r="M213" s="225"/>
      <c r="N213" s="178"/>
      <c r="O213" s="178"/>
      <c r="P213" s="178"/>
      <c r="Q213" s="179"/>
    </row>
    <row r="214" spans="1:17" s="50" customFormat="1" ht="25" customHeight="1">
      <c r="A214" s="313" t="s">
        <v>230</v>
      </c>
      <c r="B214" s="269" t="s">
        <v>152</v>
      </c>
      <c r="C214" s="272"/>
      <c r="D214" s="272"/>
      <c r="E214" s="272"/>
      <c r="F214" s="224"/>
      <c r="G214" s="224"/>
      <c r="H214" s="224"/>
      <c r="I214" s="225"/>
      <c r="J214" s="225"/>
      <c r="K214" s="225"/>
      <c r="L214" s="225"/>
      <c r="M214" s="225"/>
      <c r="N214" s="178"/>
      <c r="O214" s="178"/>
      <c r="P214" s="178"/>
      <c r="Q214" s="179"/>
    </row>
    <row r="215" spans="1:17" s="50" customFormat="1" ht="25" customHeight="1">
      <c r="A215" s="313" t="s">
        <v>231</v>
      </c>
      <c r="B215" s="269" t="s">
        <v>151</v>
      </c>
      <c r="C215" s="272"/>
      <c r="D215" s="272"/>
      <c r="E215" s="272"/>
      <c r="F215" s="224"/>
      <c r="G215" s="224"/>
      <c r="H215" s="224"/>
      <c r="I215" s="225"/>
      <c r="J215" s="225"/>
      <c r="K215" s="225"/>
      <c r="L215" s="225"/>
      <c r="M215" s="225"/>
      <c r="N215" s="178"/>
      <c r="O215" s="178"/>
      <c r="P215" s="178"/>
      <c r="Q215" s="179"/>
    </row>
    <row r="216" spans="1:17" s="50" customFormat="1" ht="25" customHeight="1">
      <c r="A216" s="313" t="s">
        <v>232</v>
      </c>
      <c r="B216" s="269" t="s">
        <v>153</v>
      </c>
      <c r="C216" s="272"/>
      <c r="D216" s="272"/>
      <c r="E216" s="272"/>
      <c r="F216" s="224"/>
      <c r="G216" s="224"/>
      <c r="H216" s="224"/>
      <c r="I216" s="225"/>
      <c r="J216" s="225"/>
      <c r="K216" s="225"/>
      <c r="L216" s="225"/>
      <c r="M216" s="225"/>
      <c r="N216" s="178"/>
      <c r="O216" s="178"/>
      <c r="P216" s="178"/>
      <c r="Q216" s="179"/>
    </row>
    <row r="217" spans="1:17" s="50" customFormat="1" ht="25" customHeight="1">
      <c r="A217" s="313" t="s">
        <v>233</v>
      </c>
      <c r="B217" s="269" t="s">
        <v>154</v>
      </c>
      <c r="C217" s="272"/>
      <c r="D217" s="272"/>
      <c r="E217" s="272"/>
      <c r="F217" s="224"/>
      <c r="G217" s="224"/>
      <c r="H217" s="224"/>
      <c r="I217" s="225"/>
      <c r="J217" s="225"/>
      <c r="K217" s="225"/>
      <c r="L217" s="225"/>
      <c r="M217" s="225"/>
      <c r="N217" s="178"/>
      <c r="O217" s="178"/>
      <c r="P217" s="178"/>
      <c r="Q217" s="179"/>
    </row>
    <row r="218" spans="1:17" s="50" customFormat="1" ht="25" customHeight="1">
      <c r="A218" s="313" t="s">
        <v>234</v>
      </c>
      <c r="B218" s="269" t="s">
        <v>155</v>
      </c>
      <c r="C218" s="272"/>
      <c r="D218" s="272"/>
      <c r="E218" s="272"/>
      <c r="F218" s="224"/>
      <c r="G218" s="224"/>
      <c r="H218" s="224"/>
      <c r="I218" s="225"/>
      <c r="J218" s="225"/>
      <c r="K218" s="225"/>
      <c r="L218" s="225"/>
      <c r="M218" s="225"/>
      <c r="N218" s="178"/>
      <c r="O218" s="178"/>
      <c r="P218" s="178"/>
      <c r="Q218" s="179"/>
    </row>
    <row r="219" spans="1:17" s="50" customFormat="1" ht="25" customHeight="1">
      <c r="A219" s="358">
        <v>2</v>
      </c>
      <c r="B219" s="358" t="s">
        <v>162</v>
      </c>
      <c r="C219" s="272"/>
      <c r="D219" s="272"/>
      <c r="E219" s="272"/>
      <c r="F219" s="224"/>
      <c r="G219" s="224"/>
      <c r="H219" s="224"/>
      <c r="I219" s="225"/>
      <c r="J219" s="225"/>
      <c r="K219" s="225"/>
      <c r="L219" s="225"/>
      <c r="M219" s="225"/>
      <c r="N219" s="178"/>
      <c r="O219" s="178"/>
      <c r="P219" s="178"/>
      <c r="Q219" s="179"/>
    </row>
    <row r="220" spans="1:17" s="50" customFormat="1" ht="25" customHeight="1">
      <c r="A220" s="317" t="s">
        <v>145</v>
      </c>
      <c r="B220" s="318" t="s">
        <v>163</v>
      </c>
      <c r="C220" s="272"/>
      <c r="D220" s="272"/>
      <c r="E220" s="272"/>
      <c r="F220" s="180">
        <f>I220+J220+K220</f>
        <v>0</v>
      </c>
      <c r="G220" s="224">
        <v>25</v>
      </c>
      <c r="H220" s="175">
        <f>C220*D220*E220*G220</f>
        <v>0</v>
      </c>
      <c r="I220" s="177">
        <f>IF(G220&lt;70, C220*E220*16.5*1.5, C220*E220*16.5*1.5)</f>
        <v>0</v>
      </c>
      <c r="J220" s="225"/>
      <c r="K220" s="225"/>
      <c r="L220" s="225"/>
      <c r="M220" s="225"/>
      <c r="N220" s="178"/>
      <c r="O220" s="178"/>
      <c r="P220" s="178"/>
      <c r="Q220" s="179"/>
    </row>
    <row r="221" spans="1:17" s="50" customFormat="1" ht="25" customHeight="1">
      <c r="A221" s="269" t="s">
        <v>224</v>
      </c>
      <c r="B221" s="285" t="s">
        <v>428</v>
      </c>
      <c r="C221" s="272">
        <v>3</v>
      </c>
      <c r="D221" s="272">
        <v>1</v>
      </c>
      <c r="E221" s="272">
        <v>3</v>
      </c>
      <c r="F221" s="180">
        <f>I221+J221+K221</f>
        <v>222.75</v>
      </c>
      <c r="G221" s="224">
        <v>15</v>
      </c>
      <c r="H221" s="175">
        <f>C221*D221*E221*G221</f>
        <v>135</v>
      </c>
      <c r="I221" s="177">
        <f>IF(G221&lt;70, C221*E221*16.5*1.5, C221*E221*16.5*1.5)</f>
        <v>222.75</v>
      </c>
      <c r="J221" s="225"/>
      <c r="K221" s="225"/>
      <c r="L221" s="225"/>
      <c r="M221" s="225"/>
      <c r="N221" s="178"/>
      <c r="O221" s="178"/>
      <c r="P221" s="178"/>
      <c r="Q221" s="179"/>
    </row>
    <row r="222" spans="1:17" s="50" customFormat="1" ht="25" customHeight="1">
      <c r="A222" s="269" t="s">
        <v>225</v>
      </c>
      <c r="B222" s="285" t="s">
        <v>429</v>
      </c>
      <c r="C222" s="272">
        <v>3</v>
      </c>
      <c r="D222" s="272">
        <v>1</v>
      </c>
      <c r="E222" s="272">
        <v>1</v>
      </c>
      <c r="F222" s="180">
        <f>I222+J222+K222</f>
        <v>74.25</v>
      </c>
      <c r="G222" s="224">
        <v>25</v>
      </c>
      <c r="H222" s="175">
        <f>C222*D222*E222*G222</f>
        <v>75</v>
      </c>
      <c r="I222" s="177">
        <f>IF(G222&lt;70, C222*E222*16.5*1.5, C222*E222*16.5*1.5)</f>
        <v>74.25</v>
      </c>
      <c r="J222" s="225"/>
      <c r="K222" s="225"/>
      <c r="L222" s="225"/>
      <c r="M222" s="225"/>
      <c r="N222" s="178"/>
      <c r="O222" s="178"/>
      <c r="P222" s="178"/>
      <c r="Q222" s="179"/>
    </row>
    <row r="223" spans="1:17" s="50" customFormat="1" ht="25" customHeight="1">
      <c r="A223" s="269"/>
      <c r="B223" s="285" t="s">
        <v>679</v>
      </c>
      <c r="C223" s="272">
        <v>3</v>
      </c>
      <c r="D223" s="272">
        <v>1</v>
      </c>
      <c r="E223" s="272">
        <v>1</v>
      </c>
      <c r="F223" s="224">
        <f>SUM(F220:F222)</f>
        <v>297</v>
      </c>
      <c r="G223" s="220">
        <f>SUM(G220:G222)</f>
        <v>65</v>
      </c>
      <c r="H223" s="220">
        <f>SUM(H220:H222)</f>
        <v>210</v>
      </c>
      <c r="I223" s="220">
        <f>SUM(I220:I222)</f>
        <v>297</v>
      </c>
      <c r="J223" s="225"/>
      <c r="K223" s="225"/>
      <c r="L223" s="225"/>
      <c r="M223" s="225"/>
      <c r="N223" s="178"/>
      <c r="O223" s="178"/>
      <c r="P223" s="178"/>
      <c r="Q223" s="179"/>
    </row>
    <row r="224" spans="1:17" s="50" customFormat="1" ht="25" customHeight="1">
      <c r="A224" s="269" t="s">
        <v>226</v>
      </c>
      <c r="B224" s="270" t="s">
        <v>430</v>
      </c>
      <c r="C224" s="272">
        <v>3</v>
      </c>
      <c r="D224" s="272">
        <v>1</v>
      </c>
      <c r="E224" s="272">
        <v>3</v>
      </c>
      <c r="F224" s="224"/>
      <c r="G224" s="224"/>
      <c r="H224" s="224"/>
      <c r="I224" s="225"/>
      <c r="J224" s="225"/>
      <c r="K224" s="225"/>
      <c r="L224" s="225"/>
      <c r="M224" s="225"/>
      <c r="N224" s="178"/>
      <c r="O224" s="178"/>
      <c r="P224" s="178"/>
      <c r="Q224" s="179"/>
    </row>
    <row r="225" spans="1:17" s="50" customFormat="1" ht="25" customHeight="1">
      <c r="A225" s="269"/>
      <c r="B225" s="322" t="s">
        <v>375</v>
      </c>
      <c r="C225" s="315">
        <f>SUM(C221:C224)</f>
        <v>12</v>
      </c>
      <c r="D225" s="315">
        <f>SUM(D221:D224)</f>
        <v>4</v>
      </c>
      <c r="E225" s="315">
        <f>SUM(E221:E224)</f>
        <v>8</v>
      </c>
      <c r="F225" s="224"/>
      <c r="G225" s="224"/>
      <c r="H225" s="224"/>
      <c r="I225" s="225"/>
      <c r="J225" s="225"/>
      <c r="K225" s="225"/>
      <c r="L225" s="225"/>
      <c r="M225" s="225"/>
      <c r="N225" s="178"/>
      <c r="O225" s="178"/>
      <c r="P225" s="178"/>
      <c r="Q225" s="179"/>
    </row>
    <row r="226" spans="1:17" s="50" customFormat="1" ht="25" customHeight="1">
      <c r="A226" s="311" t="s">
        <v>146</v>
      </c>
      <c r="B226" s="312" t="s">
        <v>680</v>
      </c>
      <c r="C226" s="272"/>
      <c r="D226" s="272"/>
      <c r="E226" s="272"/>
      <c r="F226" s="224"/>
      <c r="G226" s="224"/>
      <c r="H226" s="224"/>
      <c r="I226" s="225"/>
      <c r="J226" s="225"/>
      <c r="K226" s="225"/>
      <c r="L226" s="225"/>
      <c r="M226" s="225"/>
      <c r="N226" s="178"/>
      <c r="O226" s="178"/>
      <c r="P226" s="178"/>
      <c r="Q226" s="179"/>
    </row>
    <row r="227" spans="1:17" s="50" customFormat="1" ht="25" customHeight="1">
      <c r="A227" s="358">
        <v>3</v>
      </c>
      <c r="B227" s="358" t="s">
        <v>164</v>
      </c>
      <c r="C227" s="272"/>
      <c r="D227" s="272"/>
      <c r="E227" s="272"/>
      <c r="F227" s="224"/>
      <c r="G227" s="224"/>
      <c r="H227" s="224"/>
      <c r="I227" s="225"/>
      <c r="J227" s="225"/>
      <c r="K227" s="225"/>
      <c r="L227" s="225"/>
      <c r="M227" s="225"/>
      <c r="N227" s="178"/>
      <c r="O227" s="178"/>
      <c r="P227" s="178"/>
      <c r="Q227" s="179"/>
    </row>
    <row r="228" spans="1:17" s="50" customFormat="1" ht="25" customHeight="1">
      <c r="A228" s="317" t="s">
        <v>145</v>
      </c>
      <c r="B228" s="318" t="s">
        <v>165</v>
      </c>
      <c r="C228" s="272"/>
      <c r="D228" s="272"/>
      <c r="E228" s="272"/>
      <c r="F228" s="224"/>
      <c r="G228" s="224"/>
      <c r="H228" s="224"/>
      <c r="I228" s="225"/>
      <c r="J228" s="225"/>
      <c r="K228" s="225"/>
      <c r="L228" s="225"/>
      <c r="M228" s="225"/>
      <c r="N228" s="178"/>
      <c r="O228" s="178"/>
      <c r="P228" s="178"/>
      <c r="Q228" s="179"/>
    </row>
    <row r="229" spans="1:17" s="50" customFormat="1" ht="25" customHeight="1">
      <c r="A229" s="311" t="s">
        <v>146</v>
      </c>
      <c r="B229" s="312" t="s">
        <v>166</v>
      </c>
      <c r="C229" s="272"/>
      <c r="D229" s="272"/>
      <c r="E229" s="272"/>
      <c r="F229" s="224">
        <f>F224+F227+F228</f>
        <v>0</v>
      </c>
      <c r="G229" s="220">
        <f>G224+G227+G228</f>
        <v>0</v>
      </c>
      <c r="H229" s="220">
        <f>H224+H227+H228</f>
        <v>0</v>
      </c>
      <c r="I229" s="220">
        <f>I224+I227+I228</f>
        <v>0</v>
      </c>
      <c r="J229" s="225"/>
      <c r="K229" s="225"/>
      <c r="L229" s="225"/>
      <c r="M229" s="225"/>
      <c r="N229" s="178"/>
      <c r="O229" s="178"/>
      <c r="P229" s="178"/>
      <c r="Q229" s="179"/>
    </row>
    <row r="230" spans="1:17" s="50" customFormat="1" ht="25" customHeight="1">
      <c r="A230" s="311" t="s">
        <v>167</v>
      </c>
      <c r="B230" s="312" t="s">
        <v>168</v>
      </c>
      <c r="C230" s="272"/>
      <c r="D230" s="272"/>
      <c r="E230" s="272"/>
      <c r="F230" s="224"/>
      <c r="G230" s="224"/>
      <c r="H230" s="224"/>
      <c r="I230" s="225"/>
      <c r="J230" s="225"/>
      <c r="K230" s="225"/>
      <c r="L230" s="225"/>
      <c r="M230" s="225"/>
      <c r="N230" s="178"/>
      <c r="O230" s="178"/>
      <c r="P230" s="178"/>
      <c r="Q230" s="179"/>
    </row>
    <row r="231" spans="1:17" s="50" customFormat="1" ht="25" customHeight="1">
      <c r="A231" s="313"/>
      <c r="B231" s="314" t="s">
        <v>433</v>
      </c>
      <c r="C231" s="315">
        <f>C229+C230</f>
        <v>0</v>
      </c>
      <c r="D231" s="315">
        <f>D226+D229+D230</f>
        <v>0</v>
      </c>
      <c r="E231" s="315">
        <f>E226+E229+E230</f>
        <v>0</v>
      </c>
      <c r="F231" s="224"/>
      <c r="G231" s="224"/>
      <c r="H231" s="224"/>
      <c r="I231" s="225"/>
      <c r="J231" s="225"/>
      <c r="K231" s="225"/>
      <c r="L231" s="225"/>
      <c r="M231" s="225"/>
      <c r="N231" s="178"/>
      <c r="O231" s="178"/>
      <c r="P231" s="178"/>
      <c r="Q231" s="179"/>
    </row>
    <row r="232" spans="1:17" s="50" customFormat="1" ht="25" customHeight="1">
      <c r="A232" s="358" t="s">
        <v>7</v>
      </c>
      <c r="B232" s="358" t="s">
        <v>222</v>
      </c>
      <c r="C232" s="272"/>
      <c r="D232" s="272"/>
      <c r="E232" s="272"/>
      <c r="F232" s="224"/>
      <c r="G232" s="224"/>
      <c r="H232" s="224"/>
      <c r="I232" s="225"/>
      <c r="J232" s="225"/>
      <c r="K232" s="225"/>
      <c r="L232" s="225"/>
      <c r="M232" s="225"/>
      <c r="N232" s="178"/>
      <c r="O232" s="178"/>
      <c r="P232" s="178"/>
      <c r="Q232" s="179"/>
    </row>
    <row r="233" spans="1:17" s="50" customFormat="1" ht="25" customHeight="1">
      <c r="A233" s="358">
        <v>1</v>
      </c>
      <c r="B233" s="318" t="s">
        <v>223</v>
      </c>
      <c r="C233" s="272"/>
      <c r="D233" s="272"/>
      <c r="E233" s="272"/>
      <c r="F233" s="180">
        <f t="shared" ref="F233:F238" si="31">I233+J233+K233</f>
        <v>0</v>
      </c>
      <c r="G233" s="224">
        <v>60</v>
      </c>
      <c r="H233" s="175">
        <f t="shared" ref="H233:H238" si="32">C233*D233*E233*G233</f>
        <v>0</v>
      </c>
      <c r="I233" s="177">
        <f t="shared" ref="I233:I238" si="33">IF(G233&lt;70, C233*E233*16.5*1, C233*E233*16.5*1.3)</f>
        <v>0</v>
      </c>
      <c r="J233" s="225"/>
      <c r="K233" s="225"/>
      <c r="L233" s="225"/>
      <c r="M233" s="225"/>
      <c r="N233" s="178"/>
      <c r="O233" s="178"/>
      <c r="P233" s="178"/>
      <c r="Q233" s="179"/>
    </row>
    <row r="234" spans="1:17" s="50" customFormat="1" ht="25" customHeight="1">
      <c r="A234" s="358" t="s">
        <v>145</v>
      </c>
      <c r="B234" s="318" t="s">
        <v>161</v>
      </c>
      <c r="C234" s="272"/>
      <c r="D234" s="272"/>
      <c r="E234" s="272"/>
      <c r="F234" s="180">
        <f t="shared" si="31"/>
        <v>0</v>
      </c>
      <c r="G234" s="224">
        <v>60</v>
      </c>
      <c r="H234" s="175">
        <f t="shared" si="32"/>
        <v>0</v>
      </c>
      <c r="I234" s="177">
        <f t="shared" si="33"/>
        <v>0</v>
      </c>
      <c r="J234" s="225"/>
      <c r="K234" s="225"/>
      <c r="L234" s="225"/>
      <c r="M234" s="225"/>
      <c r="N234" s="178"/>
      <c r="O234" s="178"/>
      <c r="P234" s="178"/>
      <c r="Q234" s="179"/>
    </row>
    <row r="235" spans="1:17" s="50" customFormat="1" ht="25" customHeight="1">
      <c r="A235" s="313" t="s">
        <v>224</v>
      </c>
      <c r="B235" s="285" t="s">
        <v>681</v>
      </c>
      <c r="C235" s="272">
        <v>5</v>
      </c>
      <c r="D235" s="272">
        <v>1</v>
      </c>
      <c r="E235" s="272">
        <v>16</v>
      </c>
      <c r="F235" s="180">
        <f t="shared" si="31"/>
        <v>1320</v>
      </c>
      <c r="G235" s="224">
        <v>60</v>
      </c>
      <c r="H235" s="175">
        <f t="shared" si="32"/>
        <v>4800</v>
      </c>
      <c r="I235" s="177">
        <f t="shared" si="33"/>
        <v>1320</v>
      </c>
      <c r="J235" s="225"/>
      <c r="K235" s="225"/>
      <c r="L235" s="225"/>
      <c r="M235" s="225"/>
      <c r="N235" s="178"/>
      <c r="O235" s="178"/>
      <c r="P235" s="178"/>
      <c r="Q235" s="179"/>
    </row>
    <row r="236" spans="1:17" s="50" customFormat="1" ht="25" customHeight="1">
      <c r="A236" s="313" t="s">
        <v>225</v>
      </c>
      <c r="B236" s="285" t="s">
        <v>431</v>
      </c>
      <c r="C236" s="272">
        <v>5</v>
      </c>
      <c r="D236" s="272">
        <v>1</v>
      </c>
      <c r="E236" s="272">
        <v>7</v>
      </c>
      <c r="F236" s="180">
        <f t="shared" si="31"/>
        <v>577.5</v>
      </c>
      <c r="G236" s="224">
        <v>60</v>
      </c>
      <c r="H236" s="175">
        <f t="shared" si="32"/>
        <v>2100</v>
      </c>
      <c r="I236" s="177">
        <f t="shared" si="33"/>
        <v>577.5</v>
      </c>
      <c r="J236" s="225"/>
      <c r="K236" s="225"/>
      <c r="L236" s="225"/>
      <c r="M236" s="225"/>
      <c r="N236" s="178"/>
      <c r="O236" s="178"/>
      <c r="P236" s="178"/>
      <c r="Q236" s="179"/>
    </row>
    <row r="237" spans="1:17" s="50" customFormat="1" ht="25" customHeight="1">
      <c r="A237" s="313" t="s">
        <v>226</v>
      </c>
      <c r="B237" s="285" t="s">
        <v>420</v>
      </c>
      <c r="C237" s="272">
        <v>3</v>
      </c>
      <c r="D237" s="272">
        <v>1</v>
      </c>
      <c r="E237" s="272">
        <v>16</v>
      </c>
      <c r="F237" s="180">
        <f t="shared" si="31"/>
        <v>792</v>
      </c>
      <c r="G237" s="186">
        <v>50</v>
      </c>
      <c r="H237" s="175">
        <f t="shared" si="32"/>
        <v>2400</v>
      </c>
      <c r="I237" s="177">
        <f t="shared" si="33"/>
        <v>792</v>
      </c>
      <c r="J237" s="225"/>
      <c r="K237" s="225"/>
      <c r="L237" s="225"/>
      <c r="M237" s="225"/>
      <c r="N237" s="178"/>
      <c r="O237" s="178"/>
      <c r="P237" s="178"/>
      <c r="Q237" s="179"/>
    </row>
    <row r="238" spans="1:17" s="50" customFormat="1" ht="25" customHeight="1">
      <c r="A238" s="313" t="s">
        <v>227</v>
      </c>
      <c r="B238" s="285" t="s">
        <v>432</v>
      </c>
      <c r="C238" s="272">
        <v>3</v>
      </c>
      <c r="D238" s="272">
        <v>1</v>
      </c>
      <c r="E238" s="272">
        <v>7</v>
      </c>
      <c r="F238" s="180">
        <f t="shared" si="31"/>
        <v>346.5</v>
      </c>
      <c r="G238" s="186">
        <v>50</v>
      </c>
      <c r="H238" s="175">
        <f t="shared" si="32"/>
        <v>1050</v>
      </c>
      <c r="I238" s="177">
        <f t="shared" si="33"/>
        <v>346.5</v>
      </c>
      <c r="J238" s="225"/>
      <c r="K238" s="225"/>
      <c r="L238" s="225"/>
      <c r="M238" s="225"/>
      <c r="N238" s="178"/>
      <c r="O238" s="178"/>
      <c r="P238" s="178"/>
      <c r="Q238" s="179"/>
    </row>
    <row r="239" spans="1:17" s="50" customFormat="1" ht="25" customHeight="1">
      <c r="A239" s="313" t="s">
        <v>228</v>
      </c>
      <c r="B239" s="285" t="s">
        <v>498</v>
      </c>
      <c r="C239" s="276">
        <v>5</v>
      </c>
      <c r="D239" s="276">
        <v>1</v>
      </c>
      <c r="E239" s="276">
        <v>7</v>
      </c>
      <c r="F239" s="200">
        <f>SUM(F233:F238)</f>
        <v>3036</v>
      </c>
      <c r="G239" s="207">
        <f>SUM(G233:G238)</f>
        <v>340</v>
      </c>
      <c r="H239" s="207">
        <f>SUM(H233:H238)</f>
        <v>10350</v>
      </c>
      <c r="I239" s="207">
        <f>SUM(I233:I238)</f>
        <v>3036</v>
      </c>
      <c r="J239" s="178"/>
      <c r="K239" s="178"/>
      <c r="L239" s="178"/>
      <c r="M239" s="178"/>
      <c r="N239" s="178"/>
      <c r="O239" s="178"/>
      <c r="P239" s="178"/>
      <c r="Q239" s="179"/>
    </row>
    <row r="240" spans="1:17" s="50" customFormat="1" ht="25" customHeight="1">
      <c r="A240" s="313" t="s">
        <v>229</v>
      </c>
      <c r="B240" s="285" t="s">
        <v>499</v>
      </c>
      <c r="C240" s="276">
        <v>5</v>
      </c>
      <c r="D240" s="276">
        <v>1</v>
      </c>
      <c r="E240" s="276">
        <v>16</v>
      </c>
      <c r="F240" s="246">
        <f>F211+F223+F229+F239</f>
        <v>5070.45</v>
      </c>
      <c r="G240" s="210">
        <f>G211+G223+G229+G239</f>
        <v>895</v>
      </c>
      <c r="H240" s="210">
        <f>H211+H223+H229+H239</f>
        <v>16230</v>
      </c>
      <c r="I240" s="210">
        <f>I211+I223+I229+I239</f>
        <v>5070.45</v>
      </c>
      <c r="J240" s="229">
        <v>0</v>
      </c>
      <c r="K240" s="230">
        <v>0</v>
      </c>
      <c r="L240" s="191">
        <f>'Bieu3 GDH'!F20</f>
        <v>1080</v>
      </c>
      <c r="M240" s="191">
        <f>'Bieu3 GDH'!N20</f>
        <v>1039.5</v>
      </c>
      <c r="N240" s="187">
        <f>I240-M240</f>
        <v>4030.95</v>
      </c>
      <c r="O240" s="191">
        <f>'Bieu3 GDH'!O20</f>
        <v>805.25</v>
      </c>
      <c r="P240" s="191">
        <f>'Bieu3 GDH'!P20</f>
        <v>370</v>
      </c>
      <c r="Q240" s="192"/>
    </row>
    <row r="241" spans="1:17" s="50" customFormat="1" ht="25" customHeight="1">
      <c r="A241" s="274"/>
      <c r="B241" s="284" t="s">
        <v>375</v>
      </c>
      <c r="C241" s="287">
        <f>SUM(C235:C240)</f>
        <v>26</v>
      </c>
      <c r="D241" s="287">
        <f>SUM(D235:D240)</f>
        <v>6</v>
      </c>
      <c r="E241" s="287">
        <f>SUM(E235:E240)</f>
        <v>69</v>
      </c>
      <c r="F241" s="365"/>
      <c r="G241" s="364"/>
      <c r="H241" s="364"/>
      <c r="I241" s="364"/>
      <c r="J241" s="366"/>
      <c r="K241" s="367"/>
      <c r="L241" s="294"/>
      <c r="M241" s="294"/>
      <c r="N241" s="289"/>
      <c r="O241" s="294"/>
      <c r="P241" s="294"/>
      <c r="Q241" s="295"/>
    </row>
    <row r="242" spans="1:17" s="50" customFormat="1" ht="25" customHeight="1">
      <c r="A242" s="327"/>
      <c r="B242" s="368" t="s">
        <v>434</v>
      </c>
      <c r="C242" s="321">
        <f>C4+C212+C225+C231+C241</f>
        <v>67</v>
      </c>
      <c r="D242" s="321">
        <f>D212+D225+D231+D241</f>
        <v>19</v>
      </c>
      <c r="E242" s="321">
        <f>E212+E225+E231+E241</f>
        <v>120</v>
      </c>
      <c r="F242" s="365"/>
      <c r="G242" s="364"/>
      <c r="H242" s="364"/>
      <c r="I242" s="364"/>
      <c r="J242" s="366"/>
      <c r="K242" s="367"/>
      <c r="L242" s="294"/>
      <c r="M242" s="294"/>
      <c r="N242" s="289"/>
      <c r="O242" s="294"/>
      <c r="P242" s="294"/>
      <c r="Q242" s="295"/>
    </row>
    <row r="243" spans="1:17" s="50" customFormat="1" ht="25" customHeight="1">
      <c r="A243" s="168" t="s">
        <v>5</v>
      </c>
      <c r="B243" s="168" t="s">
        <v>478</v>
      </c>
      <c r="C243" s="169"/>
      <c r="D243" s="169"/>
      <c r="E243" s="169"/>
      <c r="F243" s="244"/>
      <c r="G243" s="169"/>
      <c r="H243" s="169"/>
      <c r="I243" s="169"/>
      <c r="J243" s="169"/>
      <c r="K243" s="211"/>
      <c r="L243" s="212"/>
      <c r="M243" s="213"/>
      <c r="N243" s="213"/>
      <c r="O243" s="213"/>
      <c r="P243" s="213"/>
      <c r="Q243" s="213"/>
    </row>
    <row r="244" spans="1:17" s="50" customFormat="1" ht="25" customHeight="1">
      <c r="A244" s="168" t="s">
        <v>6</v>
      </c>
      <c r="B244" s="168" t="s">
        <v>221</v>
      </c>
      <c r="C244" s="169"/>
      <c r="D244" s="169"/>
      <c r="E244" s="169"/>
      <c r="F244" s="244"/>
      <c r="G244" s="169"/>
      <c r="H244" s="169"/>
      <c r="I244" s="169"/>
      <c r="J244" s="169"/>
      <c r="K244" s="211"/>
      <c r="L244" s="212"/>
      <c r="M244" s="213"/>
      <c r="N244" s="213"/>
      <c r="O244" s="213"/>
      <c r="P244" s="213"/>
      <c r="Q244" s="213"/>
    </row>
    <row r="245" spans="1:17" s="50" customFormat="1" ht="25" customHeight="1">
      <c r="A245" s="168">
        <v>1</v>
      </c>
      <c r="B245" s="168" t="s">
        <v>4</v>
      </c>
      <c r="C245" s="169"/>
      <c r="D245" s="169"/>
      <c r="E245" s="169"/>
      <c r="F245" s="244"/>
      <c r="G245" s="169"/>
      <c r="H245" s="169"/>
      <c r="I245" s="169"/>
      <c r="J245" s="169"/>
      <c r="K245" s="211"/>
      <c r="L245" s="212"/>
      <c r="M245" s="213"/>
      <c r="N245" s="213"/>
      <c r="O245" s="213"/>
      <c r="P245" s="213"/>
      <c r="Q245" s="213"/>
    </row>
    <row r="246" spans="1:17" s="50" customFormat="1" ht="25" customHeight="1">
      <c r="A246" s="170" t="s">
        <v>145</v>
      </c>
      <c r="B246" s="171" t="s">
        <v>159</v>
      </c>
      <c r="C246" s="172"/>
      <c r="D246" s="172"/>
      <c r="E246" s="172"/>
      <c r="F246" s="175"/>
      <c r="G246" s="172"/>
      <c r="H246" s="172"/>
      <c r="I246" s="173"/>
      <c r="J246" s="173"/>
      <c r="K246" s="211"/>
      <c r="L246" s="212"/>
      <c r="M246" s="213"/>
      <c r="N246" s="213"/>
      <c r="O246" s="213"/>
      <c r="P246" s="213"/>
      <c r="Q246" s="213"/>
    </row>
    <row r="247" spans="1:17" s="50" customFormat="1" ht="25" customHeight="1">
      <c r="A247" s="288" t="s">
        <v>224</v>
      </c>
      <c r="B247" s="296" t="s">
        <v>435</v>
      </c>
      <c r="C247" s="272">
        <v>2</v>
      </c>
      <c r="D247" s="297">
        <v>1</v>
      </c>
      <c r="E247" s="272">
        <v>1</v>
      </c>
      <c r="F247" s="180">
        <f t="shared" ref="F247:F272" si="34">I247+J247+K247</f>
        <v>33</v>
      </c>
      <c r="G247" s="175">
        <v>40</v>
      </c>
      <c r="H247" s="175">
        <f t="shared" ref="H247:H271" si="35">C247*D247*E247*G247</f>
        <v>80</v>
      </c>
      <c r="I247" s="177">
        <f t="shared" ref="I247:I272" si="36">IF(G247&lt;70, C247*E247*16.5*1, C247*E247*16.5*1.3)</f>
        <v>33</v>
      </c>
      <c r="J247" s="173"/>
      <c r="K247" s="211"/>
      <c r="L247" s="212"/>
      <c r="M247" s="213"/>
      <c r="N247" s="213"/>
      <c r="O247" s="213"/>
      <c r="P247" s="213"/>
      <c r="Q247" s="213"/>
    </row>
    <row r="248" spans="1:17" s="50" customFormat="1" ht="25" customHeight="1">
      <c r="A248" s="288" t="s">
        <v>225</v>
      </c>
      <c r="B248" s="323" t="s">
        <v>436</v>
      </c>
      <c r="C248" s="272">
        <v>3</v>
      </c>
      <c r="D248" s="272">
        <v>1</v>
      </c>
      <c r="E248" s="272">
        <v>1</v>
      </c>
      <c r="F248" s="180">
        <f t="shared" si="34"/>
        <v>49.5</v>
      </c>
      <c r="G248" s="175">
        <v>20</v>
      </c>
      <c r="H248" s="175">
        <f t="shared" si="35"/>
        <v>60</v>
      </c>
      <c r="I248" s="177">
        <f t="shared" si="36"/>
        <v>49.5</v>
      </c>
      <c r="J248" s="173"/>
      <c r="K248" s="211"/>
      <c r="L248" s="212"/>
      <c r="M248" s="213"/>
      <c r="N248" s="213"/>
      <c r="O248" s="213"/>
      <c r="P248" s="213"/>
      <c r="Q248" s="213"/>
    </row>
    <row r="249" spans="1:17" s="50" customFormat="1" ht="25" customHeight="1">
      <c r="A249" s="288" t="s">
        <v>226</v>
      </c>
      <c r="B249" s="270" t="s">
        <v>437</v>
      </c>
      <c r="C249" s="272">
        <v>2</v>
      </c>
      <c r="D249" s="272">
        <v>1</v>
      </c>
      <c r="E249" s="272">
        <v>3</v>
      </c>
      <c r="F249" s="180">
        <f t="shared" si="34"/>
        <v>128.70000000000002</v>
      </c>
      <c r="G249" s="175">
        <v>80</v>
      </c>
      <c r="H249" s="175">
        <f t="shared" si="35"/>
        <v>480</v>
      </c>
      <c r="I249" s="177">
        <f t="shared" si="36"/>
        <v>128.70000000000002</v>
      </c>
      <c r="J249" s="178"/>
      <c r="K249" s="211"/>
      <c r="L249" s="212"/>
      <c r="M249" s="213"/>
      <c r="N249" s="213"/>
      <c r="O249" s="213"/>
      <c r="P249" s="213"/>
      <c r="Q249" s="213"/>
    </row>
    <row r="250" spans="1:17" s="50" customFormat="1" ht="25" customHeight="1">
      <c r="A250" s="288" t="s">
        <v>227</v>
      </c>
      <c r="B250" s="296" t="s">
        <v>438</v>
      </c>
      <c r="C250" s="272">
        <v>3</v>
      </c>
      <c r="D250" s="272">
        <v>1</v>
      </c>
      <c r="E250" s="272">
        <v>1</v>
      </c>
      <c r="F250" s="180">
        <f t="shared" si="34"/>
        <v>64.350000000000009</v>
      </c>
      <c r="G250" s="175">
        <v>80</v>
      </c>
      <c r="H250" s="175">
        <f t="shared" si="35"/>
        <v>240</v>
      </c>
      <c r="I250" s="177">
        <f t="shared" si="36"/>
        <v>64.350000000000009</v>
      </c>
      <c r="J250" s="173"/>
      <c r="K250" s="211"/>
      <c r="L250" s="212"/>
      <c r="M250" s="213"/>
      <c r="N250" s="213"/>
      <c r="O250" s="213"/>
      <c r="P250" s="213"/>
      <c r="Q250" s="213"/>
    </row>
    <row r="251" spans="1:17" s="50" customFormat="1" ht="25" customHeight="1">
      <c r="A251" s="288" t="s">
        <v>228</v>
      </c>
      <c r="B251" s="270" t="s">
        <v>437</v>
      </c>
      <c r="C251" s="272">
        <v>2</v>
      </c>
      <c r="D251" s="272">
        <v>1</v>
      </c>
      <c r="E251" s="272">
        <v>2</v>
      </c>
      <c r="F251" s="180">
        <f t="shared" si="34"/>
        <v>85.8</v>
      </c>
      <c r="G251" s="175">
        <v>80</v>
      </c>
      <c r="H251" s="175">
        <f t="shared" si="35"/>
        <v>320</v>
      </c>
      <c r="I251" s="177">
        <f t="shared" si="36"/>
        <v>85.8</v>
      </c>
      <c r="J251" s="173"/>
      <c r="K251" s="211"/>
      <c r="L251" s="212"/>
      <c r="M251" s="213"/>
      <c r="N251" s="213"/>
      <c r="O251" s="213"/>
      <c r="P251" s="213"/>
      <c r="Q251" s="213"/>
    </row>
    <row r="252" spans="1:17" s="50" customFormat="1" ht="25" customHeight="1">
      <c r="A252" s="288" t="s">
        <v>229</v>
      </c>
      <c r="B252" s="296" t="s">
        <v>435</v>
      </c>
      <c r="C252" s="272">
        <v>2</v>
      </c>
      <c r="D252" s="272">
        <v>1</v>
      </c>
      <c r="E252" s="272">
        <v>1</v>
      </c>
      <c r="F252" s="180">
        <f t="shared" si="34"/>
        <v>42.9</v>
      </c>
      <c r="G252" s="175">
        <v>80</v>
      </c>
      <c r="H252" s="175">
        <f t="shared" si="35"/>
        <v>160</v>
      </c>
      <c r="I252" s="177">
        <f t="shared" si="36"/>
        <v>42.9</v>
      </c>
      <c r="J252" s="173"/>
      <c r="K252" s="211"/>
      <c r="L252" s="212"/>
      <c r="M252" s="213"/>
      <c r="N252" s="213"/>
      <c r="O252" s="213"/>
      <c r="P252" s="213"/>
      <c r="Q252" s="213"/>
    </row>
    <row r="253" spans="1:17" s="50" customFormat="1" ht="25" customHeight="1">
      <c r="A253" s="288" t="s">
        <v>280</v>
      </c>
      <c r="B253" s="285" t="s">
        <v>439</v>
      </c>
      <c r="C253" s="271">
        <v>3</v>
      </c>
      <c r="D253" s="297">
        <v>1</v>
      </c>
      <c r="E253" s="271">
        <v>1</v>
      </c>
      <c r="F253" s="180">
        <f t="shared" si="34"/>
        <v>49.5</v>
      </c>
      <c r="G253" s="177">
        <v>40</v>
      </c>
      <c r="H253" s="175">
        <f t="shared" si="35"/>
        <v>120</v>
      </c>
      <c r="I253" s="177">
        <f t="shared" si="36"/>
        <v>49.5</v>
      </c>
      <c r="J253" s="173"/>
      <c r="K253" s="211"/>
      <c r="L253" s="212"/>
      <c r="M253" s="213"/>
      <c r="N253" s="213"/>
      <c r="O253" s="213"/>
      <c r="P253" s="213"/>
      <c r="Q253" s="213"/>
    </row>
    <row r="254" spans="1:17" s="50" customFormat="1" ht="25" customHeight="1">
      <c r="A254" s="288" t="s">
        <v>281</v>
      </c>
      <c r="B254" s="285" t="s">
        <v>440</v>
      </c>
      <c r="C254" s="271">
        <v>2</v>
      </c>
      <c r="D254" s="297">
        <v>1</v>
      </c>
      <c r="E254" s="271">
        <v>1</v>
      </c>
      <c r="F254" s="180">
        <f t="shared" si="34"/>
        <v>33</v>
      </c>
      <c r="G254" s="177">
        <v>40</v>
      </c>
      <c r="H254" s="175">
        <f t="shared" si="35"/>
        <v>80</v>
      </c>
      <c r="I254" s="177">
        <f t="shared" si="36"/>
        <v>33</v>
      </c>
      <c r="J254" s="173"/>
      <c r="K254" s="211"/>
      <c r="L254" s="212"/>
      <c r="M254" s="213"/>
      <c r="N254" s="213"/>
      <c r="O254" s="213"/>
      <c r="P254" s="213"/>
      <c r="Q254" s="213"/>
    </row>
    <row r="255" spans="1:17" s="50" customFormat="1" ht="25" customHeight="1">
      <c r="A255" s="288" t="s">
        <v>282</v>
      </c>
      <c r="B255" s="285" t="s">
        <v>441</v>
      </c>
      <c r="C255" s="271">
        <v>3</v>
      </c>
      <c r="D255" s="297">
        <v>1</v>
      </c>
      <c r="E255" s="271">
        <v>1</v>
      </c>
      <c r="F255" s="180">
        <f t="shared" si="34"/>
        <v>49.5</v>
      </c>
      <c r="G255" s="177">
        <v>30</v>
      </c>
      <c r="H255" s="175">
        <f t="shared" si="35"/>
        <v>90</v>
      </c>
      <c r="I255" s="177">
        <f t="shared" si="36"/>
        <v>49.5</v>
      </c>
      <c r="J255" s="173"/>
      <c r="K255" s="211"/>
      <c r="L255" s="212"/>
      <c r="M255" s="213"/>
      <c r="N255" s="213"/>
      <c r="O255" s="213"/>
      <c r="P255" s="213"/>
      <c r="Q255" s="213"/>
    </row>
    <row r="256" spans="1:17" s="50" customFormat="1" ht="25" customHeight="1">
      <c r="A256" s="288" t="s">
        <v>283</v>
      </c>
      <c r="B256" s="285" t="s">
        <v>442</v>
      </c>
      <c r="C256" s="271">
        <v>4</v>
      </c>
      <c r="D256" s="297">
        <v>1</v>
      </c>
      <c r="E256" s="271">
        <v>1</v>
      </c>
      <c r="F256" s="180">
        <f t="shared" si="34"/>
        <v>66</v>
      </c>
      <c r="G256" s="177">
        <v>30</v>
      </c>
      <c r="H256" s="175">
        <f t="shared" si="35"/>
        <v>120</v>
      </c>
      <c r="I256" s="177">
        <f t="shared" si="36"/>
        <v>66</v>
      </c>
      <c r="J256" s="173"/>
      <c r="K256" s="211"/>
      <c r="L256" s="212"/>
      <c r="M256" s="213"/>
      <c r="N256" s="213"/>
      <c r="O256" s="213"/>
      <c r="P256" s="213"/>
      <c r="Q256" s="213"/>
    </row>
    <row r="257" spans="1:17" s="50" customFormat="1" ht="25" customHeight="1">
      <c r="A257" s="288" t="s">
        <v>284</v>
      </c>
      <c r="B257" s="296" t="s">
        <v>435</v>
      </c>
      <c r="C257" s="271">
        <v>2</v>
      </c>
      <c r="D257" s="297">
        <v>1</v>
      </c>
      <c r="E257" s="271">
        <v>1</v>
      </c>
      <c r="F257" s="180">
        <f t="shared" si="34"/>
        <v>42.9</v>
      </c>
      <c r="G257" s="177">
        <v>80</v>
      </c>
      <c r="H257" s="175">
        <f t="shared" si="35"/>
        <v>160</v>
      </c>
      <c r="I257" s="177">
        <f t="shared" si="36"/>
        <v>42.9</v>
      </c>
      <c r="J257" s="173"/>
      <c r="K257" s="211"/>
      <c r="L257" s="212"/>
      <c r="M257" s="213"/>
      <c r="N257" s="213"/>
      <c r="O257" s="213"/>
      <c r="P257" s="213"/>
      <c r="Q257" s="213"/>
    </row>
    <row r="258" spans="1:17" s="50" customFormat="1" ht="25" customHeight="1">
      <c r="A258" s="288" t="s">
        <v>287</v>
      </c>
      <c r="B258" s="270" t="s">
        <v>437</v>
      </c>
      <c r="C258" s="272">
        <v>2</v>
      </c>
      <c r="D258" s="272">
        <v>1</v>
      </c>
      <c r="E258" s="271">
        <v>1</v>
      </c>
      <c r="F258" s="180">
        <f t="shared" si="34"/>
        <v>42.9</v>
      </c>
      <c r="G258" s="175">
        <v>80</v>
      </c>
      <c r="H258" s="175">
        <f t="shared" si="35"/>
        <v>160</v>
      </c>
      <c r="I258" s="177">
        <f t="shared" si="36"/>
        <v>42.9</v>
      </c>
      <c r="J258" s="173"/>
      <c r="K258" s="211"/>
      <c r="L258" s="212"/>
      <c r="M258" s="213"/>
      <c r="N258" s="213"/>
      <c r="O258" s="213"/>
      <c r="P258" s="213"/>
      <c r="Q258" s="213"/>
    </row>
    <row r="259" spans="1:17" s="50" customFormat="1" ht="25" customHeight="1">
      <c r="A259" s="288" t="s">
        <v>288</v>
      </c>
      <c r="B259" s="285" t="s">
        <v>443</v>
      </c>
      <c r="C259" s="272">
        <v>4</v>
      </c>
      <c r="D259" s="272">
        <v>1</v>
      </c>
      <c r="E259" s="272">
        <v>1</v>
      </c>
      <c r="F259" s="180">
        <f t="shared" si="34"/>
        <v>66</v>
      </c>
      <c r="G259" s="175">
        <v>30</v>
      </c>
      <c r="H259" s="175">
        <f t="shared" si="35"/>
        <v>120</v>
      </c>
      <c r="I259" s="177">
        <f t="shared" si="36"/>
        <v>66</v>
      </c>
      <c r="J259" s="173"/>
      <c r="K259" s="211"/>
      <c r="L259" s="212"/>
      <c r="M259" s="213"/>
      <c r="N259" s="213"/>
      <c r="O259" s="213"/>
      <c r="P259" s="213"/>
      <c r="Q259" s="213"/>
    </row>
    <row r="260" spans="1:17" s="50" customFormat="1" ht="25" customHeight="1">
      <c r="A260" s="288" t="s">
        <v>289</v>
      </c>
      <c r="B260" s="285" t="s">
        <v>444</v>
      </c>
      <c r="C260" s="324">
        <v>4</v>
      </c>
      <c r="D260" s="301">
        <v>1</v>
      </c>
      <c r="E260" s="301">
        <v>1</v>
      </c>
      <c r="F260" s="180">
        <f t="shared" si="34"/>
        <v>66</v>
      </c>
      <c r="G260" s="251">
        <v>40</v>
      </c>
      <c r="H260" s="175">
        <f t="shared" si="35"/>
        <v>160</v>
      </c>
      <c r="I260" s="177">
        <f t="shared" si="36"/>
        <v>66</v>
      </c>
      <c r="J260" s="173"/>
      <c r="K260" s="211"/>
      <c r="L260" s="212"/>
      <c r="M260" s="213"/>
      <c r="N260" s="213"/>
      <c r="O260" s="213"/>
      <c r="P260" s="213"/>
      <c r="Q260" s="213"/>
    </row>
    <row r="261" spans="1:17" s="50" customFormat="1" ht="25" customHeight="1">
      <c r="A261" s="288" t="s">
        <v>290</v>
      </c>
      <c r="B261" s="296" t="s">
        <v>435</v>
      </c>
      <c r="C261" s="324">
        <v>2</v>
      </c>
      <c r="D261" s="301">
        <v>1</v>
      </c>
      <c r="E261" s="301">
        <v>1</v>
      </c>
      <c r="F261" s="180">
        <f t="shared" si="34"/>
        <v>42.9</v>
      </c>
      <c r="G261" s="251">
        <v>89</v>
      </c>
      <c r="H261" s="175">
        <f t="shared" si="35"/>
        <v>178</v>
      </c>
      <c r="I261" s="177">
        <f t="shared" si="36"/>
        <v>42.9</v>
      </c>
      <c r="J261" s="173"/>
      <c r="K261" s="211"/>
      <c r="L261" s="212"/>
      <c r="M261" s="213"/>
      <c r="N261" s="213"/>
      <c r="O261" s="213"/>
      <c r="P261" s="213"/>
      <c r="Q261" s="213"/>
    </row>
    <row r="262" spans="1:17" s="50" customFormat="1" ht="25" customHeight="1">
      <c r="A262" s="288" t="s">
        <v>389</v>
      </c>
      <c r="B262" s="285" t="s">
        <v>445</v>
      </c>
      <c r="C262" s="324">
        <v>3</v>
      </c>
      <c r="D262" s="301">
        <v>1</v>
      </c>
      <c r="E262" s="301">
        <v>1</v>
      </c>
      <c r="F262" s="180">
        <f t="shared" si="34"/>
        <v>49.5</v>
      </c>
      <c r="G262" s="251">
        <v>40</v>
      </c>
      <c r="H262" s="175">
        <f t="shared" si="35"/>
        <v>120</v>
      </c>
      <c r="I262" s="177">
        <f t="shared" si="36"/>
        <v>49.5</v>
      </c>
      <c r="J262" s="178"/>
      <c r="K262" s="211"/>
      <c r="L262" s="212"/>
      <c r="M262" s="213"/>
      <c r="N262" s="213"/>
      <c r="O262" s="213"/>
      <c r="P262" s="213"/>
      <c r="Q262" s="213"/>
    </row>
    <row r="263" spans="1:17" s="50" customFormat="1" ht="25" customHeight="1">
      <c r="A263" s="288" t="s">
        <v>390</v>
      </c>
      <c r="B263" s="270" t="s">
        <v>437</v>
      </c>
      <c r="C263" s="272">
        <v>2</v>
      </c>
      <c r="D263" s="272">
        <v>1</v>
      </c>
      <c r="E263" s="272">
        <v>1</v>
      </c>
      <c r="F263" s="180">
        <f t="shared" si="34"/>
        <v>42.9</v>
      </c>
      <c r="G263" s="175">
        <v>80</v>
      </c>
      <c r="H263" s="175">
        <f t="shared" si="35"/>
        <v>160</v>
      </c>
      <c r="I263" s="177">
        <f t="shared" si="36"/>
        <v>42.9</v>
      </c>
      <c r="J263" s="178"/>
      <c r="K263" s="211"/>
      <c r="L263" s="212"/>
      <c r="M263" s="213"/>
      <c r="N263" s="213"/>
      <c r="O263" s="213"/>
      <c r="P263" s="213"/>
      <c r="Q263" s="213"/>
    </row>
    <row r="264" spans="1:17" s="50" customFormat="1" ht="25" customHeight="1">
      <c r="A264" s="288" t="s">
        <v>391</v>
      </c>
      <c r="B264" s="325" t="s">
        <v>446</v>
      </c>
      <c r="C264" s="272">
        <v>2</v>
      </c>
      <c r="D264" s="272">
        <v>1</v>
      </c>
      <c r="E264" s="272">
        <v>1</v>
      </c>
      <c r="F264" s="180">
        <f t="shared" si="34"/>
        <v>33</v>
      </c>
      <c r="G264" s="175">
        <v>40</v>
      </c>
      <c r="H264" s="175">
        <f t="shared" si="35"/>
        <v>80</v>
      </c>
      <c r="I264" s="177">
        <f t="shared" si="36"/>
        <v>33</v>
      </c>
      <c r="J264" s="178"/>
      <c r="K264" s="211"/>
      <c r="L264" s="212"/>
      <c r="M264" s="213"/>
      <c r="N264" s="213"/>
      <c r="O264" s="213"/>
      <c r="P264" s="213"/>
      <c r="Q264" s="213"/>
    </row>
    <row r="265" spans="1:17" s="50" customFormat="1" ht="25" customHeight="1">
      <c r="A265" s="288" t="s">
        <v>392</v>
      </c>
      <c r="B265" s="285" t="s">
        <v>447</v>
      </c>
      <c r="C265" s="272">
        <v>3</v>
      </c>
      <c r="D265" s="272">
        <v>1</v>
      </c>
      <c r="E265" s="272">
        <v>1</v>
      </c>
      <c r="F265" s="180">
        <f t="shared" si="34"/>
        <v>49.5</v>
      </c>
      <c r="G265" s="175">
        <v>40</v>
      </c>
      <c r="H265" s="175">
        <f t="shared" si="35"/>
        <v>120</v>
      </c>
      <c r="I265" s="177">
        <f t="shared" si="36"/>
        <v>49.5</v>
      </c>
      <c r="J265" s="178"/>
      <c r="K265" s="211"/>
      <c r="L265" s="212"/>
      <c r="M265" s="213"/>
      <c r="N265" s="213"/>
      <c r="O265" s="213"/>
      <c r="P265" s="213"/>
      <c r="Q265" s="213"/>
    </row>
    <row r="266" spans="1:17" s="50" customFormat="1" ht="25" customHeight="1">
      <c r="A266" s="288" t="s">
        <v>393</v>
      </c>
      <c r="B266" s="285" t="s">
        <v>448</v>
      </c>
      <c r="C266" s="272">
        <v>2</v>
      </c>
      <c r="D266" s="272">
        <v>1</v>
      </c>
      <c r="E266" s="272">
        <v>1</v>
      </c>
      <c r="F266" s="180">
        <f t="shared" si="34"/>
        <v>42.9</v>
      </c>
      <c r="G266" s="175">
        <v>80</v>
      </c>
      <c r="H266" s="175">
        <f t="shared" si="35"/>
        <v>160</v>
      </c>
      <c r="I266" s="177">
        <f t="shared" si="36"/>
        <v>42.9</v>
      </c>
      <c r="J266" s="178"/>
      <c r="K266" s="211"/>
      <c r="L266" s="212"/>
      <c r="M266" s="213"/>
      <c r="N266" s="213"/>
      <c r="O266" s="213"/>
      <c r="P266" s="213"/>
      <c r="Q266" s="213"/>
    </row>
    <row r="267" spans="1:17" s="50" customFormat="1" ht="25" customHeight="1">
      <c r="A267" s="288" t="s">
        <v>394</v>
      </c>
      <c r="B267" s="285" t="s">
        <v>440</v>
      </c>
      <c r="C267" s="271">
        <v>2</v>
      </c>
      <c r="D267" s="302">
        <v>1</v>
      </c>
      <c r="E267" s="302">
        <v>1</v>
      </c>
      <c r="F267" s="180">
        <f t="shared" si="34"/>
        <v>33</v>
      </c>
      <c r="G267" s="181">
        <v>40</v>
      </c>
      <c r="H267" s="263">
        <f t="shared" si="35"/>
        <v>80</v>
      </c>
      <c r="I267" s="177">
        <f t="shared" si="36"/>
        <v>33</v>
      </c>
      <c r="J267" s="178"/>
      <c r="K267" s="211"/>
      <c r="L267" s="212"/>
      <c r="M267" s="213"/>
      <c r="N267" s="213"/>
      <c r="O267" s="213"/>
      <c r="P267" s="213"/>
      <c r="Q267" s="213"/>
    </row>
    <row r="268" spans="1:17" s="50" customFormat="1" ht="25" customHeight="1">
      <c r="A268" s="288" t="s">
        <v>395</v>
      </c>
      <c r="B268" s="285" t="s">
        <v>448</v>
      </c>
      <c r="C268" s="272">
        <v>2</v>
      </c>
      <c r="D268" s="272">
        <v>1.3</v>
      </c>
      <c r="E268" s="272">
        <v>1</v>
      </c>
      <c r="F268" s="180">
        <f t="shared" si="34"/>
        <v>33</v>
      </c>
      <c r="G268" s="175">
        <v>40</v>
      </c>
      <c r="H268" s="175">
        <f t="shared" si="35"/>
        <v>104</v>
      </c>
      <c r="I268" s="177">
        <f t="shared" si="36"/>
        <v>33</v>
      </c>
      <c r="J268" s="178"/>
      <c r="K268" s="211"/>
      <c r="L268" s="212"/>
      <c r="M268" s="213"/>
      <c r="N268" s="213"/>
      <c r="O268" s="213"/>
      <c r="P268" s="213"/>
      <c r="Q268" s="213"/>
    </row>
    <row r="269" spans="1:17" s="50" customFormat="1" ht="25" customHeight="1">
      <c r="A269" s="288" t="s">
        <v>396</v>
      </c>
      <c r="B269" s="285" t="s">
        <v>449</v>
      </c>
      <c r="C269" s="272">
        <v>4</v>
      </c>
      <c r="D269" s="272">
        <v>1</v>
      </c>
      <c r="E269" s="272">
        <v>1</v>
      </c>
      <c r="F269" s="180">
        <f t="shared" si="34"/>
        <v>66</v>
      </c>
      <c r="G269" s="175">
        <v>40</v>
      </c>
      <c r="H269" s="175">
        <f t="shared" si="35"/>
        <v>160</v>
      </c>
      <c r="I269" s="177">
        <f t="shared" si="36"/>
        <v>66</v>
      </c>
      <c r="J269" s="178"/>
      <c r="K269" s="211"/>
      <c r="L269" s="212"/>
      <c r="M269" s="213"/>
      <c r="N269" s="213"/>
      <c r="O269" s="213"/>
      <c r="P269" s="213"/>
      <c r="Q269" s="213"/>
    </row>
    <row r="270" spans="1:17" s="50" customFormat="1" ht="25" customHeight="1">
      <c r="A270" s="288" t="s">
        <v>397</v>
      </c>
      <c r="B270" s="285" t="s">
        <v>450</v>
      </c>
      <c r="C270" s="272">
        <v>4</v>
      </c>
      <c r="D270" s="272">
        <v>1</v>
      </c>
      <c r="E270" s="272">
        <v>1</v>
      </c>
      <c r="F270" s="180">
        <f t="shared" si="34"/>
        <v>66</v>
      </c>
      <c r="G270" s="175">
        <v>40</v>
      </c>
      <c r="H270" s="175">
        <f t="shared" si="35"/>
        <v>160</v>
      </c>
      <c r="I270" s="177">
        <f t="shared" si="36"/>
        <v>66</v>
      </c>
      <c r="J270" s="178"/>
      <c r="K270" s="211"/>
      <c r="L270" s="212"/>
      <c r="M270" s="213"/>
      <c r="N270" s="213"/>
      <c r="O270" s="213"/>
      <c r="P270" s="213"/>
      <c r="Q270" s="213"/>
    </row>
    <row r="271" spans="1:17" s="50" customFormat="1" ht="25" customHeight="1">
      <c r="A271" s="288" t="s">
        <v>398</v>
      </c>
      <c r="B271" s="285" t="s">
        <v>451</v>
      </c>
      <c r="C271" s="272">
        <v>3</v>
      </c>
      <c r="D271" s="272">
        <v>1</v>
      </c>
      <c r="E271" s="272">
        <v>1</v>
      </c>
      <c r="F271" s="180">
        <f t="shared" si="34"/>
        <v>49.5</v>
      </c>
      <c r="G271" s="175">
        <v>40</v>
      </c>
      <c r="H271" s="175">
        <f t="shared" si="35"/>
        <v>120</v>
      </c>
      <c r="I271" s="177">
        <f t="shared" si="36"/>
        <v>49.5</v>
      </c>
      <c r="J271" s="178"/>
      <c r="K271" s="211"/>
      <c r="L271" s="212"/>
      <c r="M271" s="213"/>
      <c r="N271" s="213"/>
      <c r="O271" s="213"/>
      <c r="P271" s="213"/>
      <c r="Q271" s="213"/>
    </row>
    <row r="272" spans="1:17" s="50" customFormat="1" ht="25" customHeight="1">
      <c r="A272" s="288" t="s">
        <v>399</v>
      </c>
      <c r="B272" s="285" t="s">
        <v>452</v>
      </c>
      <c r="C272" s="272">
        <v>1</v>
      </c>
      <c r="D272" s="272">
        <v>1.3</v>
      </c>
      <c r="E272" s="272">
        <v>1</v>
      </c>
      <c r="F272" s="180">
        <f t="shared" si="34"/>
        <v>16.5</v>
      </c>
      <c r="G272" s="175">
        <v>40</v>
      </c>
      <c r="H272" s="175">
        <f>C272*D272*E272*G272</f>
        <v>52</v>
      </c>
      <c r="I272" s="177">
        <f t="shared" si="36"/>
        <v>16.5</v>
      </c>
      <c r="J272" s="178"/>
      <c r="K272" s="211"/>
      <c r="L272" s="212"/>
      <c r="M272" s="213"/>
      <c r="N272" s="213"/>
      <c r="O272" s="213"/>
      <c r="P272" s="213"/>
      <c r="Q272" s="213"/>
    </row>
    <row r="273" spans="1:17" s="50" customFormat="1" ht="25" customHeight="1">
      <c r="A273" s="269"/>
      <c r="B273" s="326" t="s">
        <v>375</v>
      </c>
      <c r="C273" s="271">
        <f t="shared" ref="C273:I273" si="37">SUM(C247:C272)</f>
        <v>68</v>
      </c>
      <c r="D273" s="271">
        <f t="shared" si="37"/>
        <v>26.6</v>
      </c>
      <c r="E273" s="271">
        <f t="shared" si="37"/>
        <v>29</v>
      </c>
      <c r="F273" s="196">
        <f t="shared" si="37"/>
        <v>1344.75</v>
      </c>
      <c r="G273" s="196">
        <f t="shared" si="37"/>
        <v>1359</v>
      </c>
      <c r="H273" s="196">
        <f t="shared" si="37"/>
        <v>3844</v>
      </c>
      <c r="I273" s="196">
        <f t="shared" si="37"/>
        <v>1344.75</v>
      </c>
      <c r="J273" s="178"/>
      <c r="K273" s="211"/>
      <c r="L273" s="212"/>
      <c r="M273" s="213"/>
      <c r="N273" s="213"/>
      <c r="O273" s="213"/>
      <c r="P273" s="213"/>
      <c r="Q273" s="213"/>
    </row>
    <row r="274" spans="1:17" s="50" customFormat="1" ht="25" customHeight="1">
      <c r="A274" s="311" t="s">
        <v>146</v>
      </c>
      <c r="B274" s="312" t="s">
        <v>149</v>
      </c>
      <c r="C274" s="272"/>
      <c r="D274" s="272"/>
      <c r="E274" s="272"/>
      <c r="F274" s="175"/>
      <c r="G274" s="175"/>
      <c r="H274" s="175"/>
      <c r="I274" s="178"/>
      <c r="J274" s="178"/>
      <c r="K274" s="211"/>
      <c r="L274" s="212"/>
      <c r="M274" s="213"/>
      <c r="N274" s="213"/>
      <c r="O274" s="213"/>
      <c r="P274" s="213"/>
      <c r="Q274" s="213"/>
    </row>
    <row r="275" spans="1:17" s="50" customFormat="1" ht="25" customHeight="1">
      <c r="A275" s="313" t="s">
        <v>230</v>
      </c>
      <c r="B275" s="269" t="s">
        <v>152</v>
      </c>
      <c r="C275" s="272"/>
      <c r="D275" s="272"/>
      <c r="E275" s="272"/>
      <c r="F275" s="175"/>
      <c r="G275" s="175"/>
      <c r="H275" s="175"/>
      <c r="I275" s="178"/>
      <c r="J275" s="178"/>
      <c r="K275" s="211"/>
      <c r="L275" s="212"/>
      <c r="M275" s="213"/>
      <c r="N275" s="213"/>
      <c r="O275" s="213"/>
      <c r="P275" s="213"/>
      <c r="Q275" s="213"/>
    </row>
    <row r="276" spans="1:17" s="50" customFormat="1" ht="25" customHeight="1">
      <c r="A276" s="313" t="s">
        <v>231</v>
      </c>
      <c r="B276" s="269" t="s">
        <v>151</v>
      </c>
      <c r="C276" s="272"/>
      <c r="D276" s="272"/>
      <c r="E276" s="272"/>
      <c r="F276" s="175"/>
      <c r="G276" s="175"/>
      <c r="H276" s="175"/>
      <c r="I276" s="178"/>
      <c r="J276" s="178"/>
      <c r="K276" s="211"/>
      <c r="L276" s="212"/>
      <c r="M276" s="213"/>
      <c r="N276" s="213"/>
      <c r="O276" s="213"/>
      <c r="P276" s="213"/>
      <c r="Q276" s="213"/>
    </row>
    <row r="277" spans="1:17" s="50" customFormat="1" ht="25" customHeight="1">
      <c r="A277" s="327" t="s">
        <v>232</v>
      </c>
      <c r="B277" s="328" t="s">
        <v>153</v>
      </c>
      <c r="C277" s="329">
        <v>5</v>
      </c>
      <c r="D277" s="329" t="s">
        <v>649</v>
      </c>
      <c r="E277" s="329">
        <v>21</v>
      </c>
      <c r="F277" s="175"/>
      <c r="G277" s="175"/>
      <c r="H277" s="175"/>
      <c r="I277" s="178"/>
      <c r="J277" s="178"/>
      <c r="K277" s="211"/>
      <c r="L277" s="212"/>
      <c r="M277" s="213"/>
      <c r="N277" s="213"/>
      <c r="O277" s="213"/>
      <c r="P277" s="213"/>
      <c r="Q277" s="213"/>
    </row>
    <row r="278" spans="1:17" s="50" customFormat="1" ht="25" customHeight="1">
      <c r="A278" s="327" t="s">
        <v>233</v>
      </c>
      <c r="B278" s="328" t="s">
        <v>154</v>
      </c>
      <c r="C278" s="329">
        <v>5</v>
      </c>
      <c r="D278" s="329" t="s">
        <v>649</v>
      </c>
      <c r="E278" s="329">
        <v>21</v>
      </c>
      <c r="F278" s="175"/>
      <c r="G278" s="175"/>
      <c r="H278" s="175"/>
      <c r="I278" s="178"/>
      <c r="J278" s="178"/>
      <c r="K278" s="211"/>
      <c r="L278" s="212"/>
      <c r="M278" s="213"/>
      <c r="N278" s="213"/>
      <c r="O278" s="213"/>
      <c r="P278" s="213"/>
      <c r="Q278" s="213"/>
    </row>
    <row r="279" spans="1:17" s="50" customFormat="1" ht="25" customHeight="1">
      <c r="A279" s="313" t="s">
        <v>234</v>
      </c>
      <c r="B279" s="269" t="s">
        <v>155</v>
      </c>
      <c r="C279" s="272"/>
      <c r="D279" s="272"/>
      <c r="E279" s="272"/>
      <c r="F279" s="175"/>
      <c r="G279" s="175"/>
      <c r="H279" s="175"/>
      <c r="I279" s="178"/>
      <c r="J279" s="178"/>
      <c r="K279" s="211"/>
      <c r="L279" s="212"/>
      <c r="M279" s="213"/>
      <c r="N279" s="213"/>
      <c r="O279" s="213"/>
      <c r="P279" s="213"/>
      <c r="Q279" s="213"/>
    </row>
    <row r="280" spans="1:17" s="50" customFormat="1" ht="25" customHeight="1">
      <c r="A280" s="316">
        <v>2</v>
      </c>
      <c r="B280" s="316" t="s">
        <v>162</v>
      </c>
      <c r="C280" s="272"/>
      <c r="D280" s="272"/>
      <c r="E280" s="272"/>
      <c r="F280" s="175"/>
      <c r="G280" s="175"/>
      <c r="H280" s="175"/>
      <c r="I280" s="178"/>
      <c r="J280" s="178"/>
      <c r="K280" s="211"/>
      <c r="L280" s="212"/>
      <c r="M280" s="213"/>
      <c r="N280" s="213"/>
      <c r="O280" s="213"/>
      <c r="P280" s="213"/>
      <c r="Q280" s="213"/>
    </row>
    <row r="281" spans="1:17" s="50" customFormat="1" ht="25" customHeight="1">
      <c r="A281" s="317" t="s">
        <v>145</v>
      </c>
      <c r="B281" s="318" t="s">
        <v>163</v>
      </c>
      <c r="C281" s="272"/>
      <c r="D281" s="272"/>
      <c r="E281" s="272"/>
      <c r="F281" s="175"/>
      <c r="G281" s="175"/>
      <c r="H281" s="175"/>
      <c r="I281" s="178"/>
      <c r="J281" s="178"/>
      <c r="K281" s="211"/>
      <c r="L281" s="212"/>
      <c r="M281" s="213"/>
      <c r="N281" s="213"/>
      <c r="O281" s="213"/>
      <c r="P281" s="213"/>
      <c r="Q281" s="213"/>
    </row>
    <row r="282" spans="1:17" s="50" customFormat="1" ht="25" customHeight="1">
      <c r="A282" s="269" t="s">
        <v>224</v>
      </c>
      <c r="B282" s="270" t="s">
        <v>453</v>
      </c>
      <c r="C282" s="272">
        <v>3</v>
      </c>
      <c r="D282" s="272">
        <v>1</v>
      </c>
      <c r="E282" s="272">
        <v>6</v>
      </c>
      <c r="F282" s="180">
        <f t="shared" ref="F282:F294" si="38">I282+J282+K282</f>
        <v>445.5</v>
      </c>
      <c r="G282" s="175">
        <v>30</v>
      </c>
      <c r="H282" s="175">
        <f t="shared" ref="H282:H294" si="39">C282*D282*E282*G282</f>
        <v>540</v>
      </c>
      <c r="I282" s="177">
        <f>IF(G282&lt;70, C282*E282*16.5*1.5, C282*E282*16.5*1.5)</f>
        <v>445.5</v>
      </c>
      <c r="J282" s="178"/>
      <c r="K282" s="211"/>
      <c r="L282" s="212"/>
      <c r="M282" s="213"/>
      <c r="N282" s="213"/>
      <c r="O282" s="213"/>
      <c r="P282" s="213"/>
      <c r="Q282" s="213"/>
    </row>
    <row r="283" spans="1:17" s="50" customFormat="1" ht="25" customHeight="1">
      <c r="A283" s="269" t="s">
        <v>225</v>
      </c>
      <c r="B283" s="270" t="s">
        <v>454</v>
      </c>
      <c r="C283" s="272">
        <v>3</v>
      </c>
      <c r="D283" s="272">
        <v>1</v>
      </c>
      <c r="E283" s="272">
        <v>6</v>
      </c>
      <c r="F283" s="180">
        <f t="shared" si="38"/>
        <v>445.5</v>
      </c>
      <c r="G283" s="175">
        <v>30</v>
      </c>
      <c r="H283" s="175">
        <f t="shared" si="39"/>
        <v>540</v>
      </c>
      <c r="I283" s="177">
        <f t="shared" ref="I283:I289" si="40">IF(G283&lt;70, C283*E283*16.5*1.5, C283*E283*16.5*1.5)</f>
        <v>445.5</v>
      </c>
      <c r="J283" s="178"/>
      <c r="K283" s="211"/>
      <c r="L283" s="212"/>
      <c r="M283" s="213"/>
      <c r="N283" s="213"/>
      <c r="O283" s="213"/>
      <c r="P283" s="213"/>
      <c r="Q283" s="213"/>
    </row>
    <row r="284" spans="1:17" s="50" customFormat="1" ht="25" customHeight="1">
      <c r="A284" s="269" t="s">
        <v>226</v>
      </c>
      <c r="B284" s="270" t="s">
        <v>455</v>
      </c>
      <c r="C284" s="272">
        <v>3</v>
      </c>
      <c r="D284" s="272">
        <v>1</v>
      </c>
      <c r="E284" s="272">
        <v>1</v>
      </c>
      <c r="F284" s="180">
        <f t="shared" si="38"/>
        <v>74.25</v>
      </c>
      <c r="G284" s="175">
        <v>30</v>
      </c>
      <c r="H284" s="175">
        <f t="shared" si="39"/>
        <v>90</v>
      </c>
      <c r="I284" s="177">
        <f t="shared" si="40"/>
        <v>74.25</v>
      </c>
      <c r="J284" s="178"/>
      <c r="K284" s="211"/>
      <c r="L284" s="212"/>
      <c r="M284" s="213"/>
      <c r="N284" s="213"/>
      <c r="O284" s="213"/>
      <c r="P284" s="213"/>
      <c r="Q284" s="213"/>
    </row>
    <row r="285" spans="1:17" s="50" customFormat="1" ht="25" customHeight="1">
      <c r="A285" s="269" t="s">
        <v>227</v>
      </c>
      <c r="B285" s="270" t="s">
        <v>456</v>
      </c>
      <c r="C285" s="272">
        <v>3</v>
      </c>
      <c r="D285" s="272">
        <v>1</v>
      </c>
      <c r="E285" s="272">
        <v>1</v>
      </c>
      <c r="F285" s="180">
        <f t="shared" si="38"/>
        <v>74.25</v>
      </c>
      <c r="G285" s="175">
        <v>30</v>
      </c>
      <c r="H285" s="175">
        <f t="shared" si="39"/>
        <v>90</v>
      </c>
      <c r="I285" s="177">
        <f t="shared" si="40"/>
        <v>74.25</v>
      </c>
      <c r="J285" s="178"/>
      <c r="K285" s="211"/>
      <c r="L285" s="212"/>
      <c r="M285" s="213"/>
      <c r="N285" s="213"/>
      <c r="O285" s="213"/>
      <c r="P285" s="213"/>
      <c r="Q285" s="213"/>
    </row>
    <row r="286" spans="1:17" s="50" customFormat="1" ht="25" customHeight="1">
      <c r="A286" s="269" t="s">
        <v>228</v>
      </c>
      <c r="B286" s="273" t="s">
        <v>457</v>
      </c>
      <c r="C286" s="272">
        <v>3</v>
      </c>
      <c r="D286" s="272">
        <v>1</v>
      </c>
      <c r="E286" s="272">
        <v>6</v>
      </c>
      <c r="F286" s="180">
        <f t="shared" si="38"/>
        <v>445.5</v>
      </c>
      <c r="G286" s="175">
        <v>30</v>
      </c>
      <c r="H286" s="175">
        <f t="shared" si="39"/>
        <v>540</v>
      </c>
      <c r="I286" s="177">
        <f t="shared" si="40"/>
        <v>445.5</v>
      </c>
      <c r="J286" s="178"/>
      <c r="K286" s="211"/>
      <c r="L286" s="212"/>
      <c r="M286" s="213"/>
      <c r="N286" s="213"/>
      <c r="O286" s="213"/>
      <c r="P286" s="213"/>
      <c r="Q286" s="213"/>
    </row>
    <row r="287" spans="1:17" s="50" customFormat="1" ht="25" customHeight="1">
      <c r="A287" s="269" t="s">
        <v>229</v>
      </c>
      <c r="B287" s="273" t="s">
        <v>458</v>
      </c>
      <c r="C287" s="272">
        <v>3</v>
      </c>
      <c r="D287" s="272">
        <v>1</v>
      </c>
      <c r="E287" s="272">
        <v>6</v>
      </c>
      <c r="F287" s="180">
        <f t="shared" si="38"/>
        <v>445.5</v>
      </c>
      <c r="G287" s="175">
        <v>30</v>
      </c>
      <c r="H287" s="175">
        <f t="shared" si="39"/>
        <v>540</v>
      </c>
      <c r="I287" s="177">
        <f t="shared" si="40"/>
        <v>445.5</v>
      </c>
      <c r="J287" s="178"/>
      <c r="K287" s="183"/>
      <c r="L287" s="171"/>
      <c r="M287" s="231"/>
      <c r="N287" s="231"/>
      <c r="O287" s="231"/>
      <c r="P287" s="231"/>
      <c r="Q287" s="231"/>
    </row>
    <row r="288" spans="1:17" s="50" customFormat="1" ht="25" customHeight="1">
      <c r="A288" s="269" t="s">
        <v>280</v>
      </c>
      <c r="B288" s="273" t="s">
        <v>459</v>
      </c>
      <c r="C288" s="272">
        <v>3</v>
      </c>
      <c r="D288" s="272">
        <v>1</v>
      </c>
      <c r="E288" s="272">
        <v>1</v>
      </c>
      <c r="F288" s="180">
        <f t="shared" si="38"/>
        <v>74.25</v>
      </c>
      <c r="G288" s="175">
        <v>30</v>
      </c>
      <c r="H288" s="175">
        <f t="shared" si="39"/>
        <v>90</v>
      </c>
      <c r="I288" s="177">
        <f t="shared" si="40"/>
        <v>74.25</v>
      </c>
      <c r="J288" s="178"/>
      <c r="K288" s="168"/>
      <c r="L288" s="168"/>
      <c r="M288" s="231"/>
      <c r="N288" s="231"/>
      <c r="O288" s="231"/>
      <c r="P288" s="231"/>
      <c r="Q288" s="231"/>
    </row>
    <row r="289" spans="1:17" s="50" customFormat="1" ht="25" customHeight="1">
      <c r="A289" s="269" t="s">
        <v>281</v>
      </c>
      <c r="B289" s="273" t="s">
        <v>460</v>
      </c>
      <c r="C289" s="272">
        <v>3</v>
      </c>
      <c r="D289" s="272">
        <v>1</v>
      </c>
      <c r="E289" s="272">
        <v>1</v>
      </c>
      <c r="F289" s="180">
        <f t="shared" si="38"/>
        <v>74.25</v>
      </c>
      <c r="G289" s="175">
        <v>30</v>
      </c>
      <c r="H289" s="175">
        <f t="shared" si="39"/>
        <v>90</v>
      </c>
      <c r="I289" s="177">
        <f t="shared" si="40"/>
        <v>74.25</v>
      </c>
      <c r="J289" s="178"/>
      <c r="K289" s="183"/>
      <c r="L289" s="168"/>
      <c r="M289" s="231"/>
      <c r="N289" s="231"/>
      <c r="O289" s="231"/>
      <c r="P289" s="231"/>
      <c r="Q289" s="231"/>
    </row>
    <row r="290" spans="1:17" s="50" customFormat="1" ht="25" customHeight="1">
      <c r="A290" s="269" t="s">
        <v>282</v>
      </c>
      <c r="B290" s="273" t="s">
        <v>461</v>
      </c>
      <c r="C290" s="272">
        <v>3</v>
      </c>
      <c r="D290" s="272">
        <v>1</v>
      </c>
      <c r="E290" s="272">
        <v>6</v>
      </c>
      <c r="F290" s="180">
        <f t="shared" si="38"/>
        <v>445.5</v>
      </c>
      <c r="G290" s="175">
        <v>30</v>
      </c>
      <c r="H290" s="175">
        <f t="shared" si="39"/>
        <v>540</v>
      </c>
      <c r="I290" s="229"/>
      <c r="J290" s="177">
        <f>IF(G290&lt;70, C290*E290*16.5*1.5, C290*E290*16.5*1.5)</f>
        <v>445.5</v>
      </c>
      <c r="K290" s="168"/>
      <c r="L290" s="168"/>
      <c r="M290" s="231"/>
      <c r="N290" s="231"/>
      <c r="O290" s="231"/>
      <c r="P290" s="231"/>
      <c r="Q290" s="231"/>
    </row>
    <row r="291" spans="1:17" s="50" customFormat="1" ht="25" customHeight="1">
      <c r="A291" s="269" t="s">
        <v>283</v>
      </c>
      <c r="B291" s="273" t="s">
        <v>462</v>
      </c>
      <c r="C291" s="272">
        <v>3</v>
      </c>
      <c r="D291" s="272">
        <v>1</v>
      </c>
      <c r="E291" s="272">
        <v>6</v>
      </c>
      <c r="F291" s="180">
        <f t="shared" si="38"/>
        <v>445.5</v>
      </c>
      <c r="G291" s="175">
        <v>30</v>
      </c>
      <c r="H291" s="175">
        <f t="shared" si="39"/>
        <v>540</v>
      </c>
      <c r="I291" s="229"/>
      <c r="J291" s="177">
        <f>IF(G291&lt;70, C291*E291*16.5*1.5, C291*E291*16.5*1.5)</f>
        <v>445.5</v>
      </c>
      <c r="K291" s="168"/>
      <c r="L291" s="168"/>
      <c r="M291" s="231"/>
      <c r="N291" s="231"/>
      <c r="O291" s="231"/>
      <c r="P291" s="231"/>
      <c r="Q291" s="231"/>
    </row>
    <row r="292" spans="1:17" s="253" customFormat="1" ht="25" customHeight="1">
      <c r="A292" s="269" t="s">
        <v>284</v>
      </c>
      <c r="B292" s="273" t="s">
        <v>463</v>
      </c>
      <c r="C292" s="272">
        <v>3</v>
      </c>
      <c r="D292" s="272">
        <v>1</v>
      </c>
      <c r="E292" s="272">
        <v>1</v>
      </c>
      <c r="F292" s="180">
        <f t="shared" si="38"/>
        <v>74.25</v>
      </c>
      <c r="G292" s="175">
        <v>30</v>
      </c>
      <c r="H292" s="175">
        <f t="shared" si="39"/>
        <v>90</v>
      </c>
      <c r="I292" s="251"/>
      <c r="J292" s="177">
        <f>IF(G292&lt;70, C292*E292*16.5*1.5, C292*E292*16.5*1.5)</f>
        <v>74.25</v>
      </c>
      <c r="K292" s="164"/>
      <c r="L292" s="185"/>
      <c r="M292" s="231"/>
      <c r="N292" s="231"/>
      <c r="O292" s="231"/>
      <c r="P292" s="231"/>
      <c r="Q292" s="231"/>
    </row>
    <row r="293" spans="1:17" s="253" customFormat="1" ht="25" customHeight="1">
      <c r="A293" s="269" t="s">
        <v>287</v>
      </c>
      <c r="B293" s="273" t="s">
        <v>464</v>
      </c>
      <c r="C293" s="272">
        <v>3</v>
      </c>
      <c r="D293" s="272">
        <v>1</v>
      </c>
      <c r="E293" s="272">
        <v>1</v>
      </c>
      <c r="F293" s="180">
        <f t="shared" si="38"/>
        <v>74.25</v>
      </c>
      <c r="G293" s="175">
        <v>30</v>
      </c>
      <c r="H293" s="175">
        <f t="shared" si="39"/>
        <v>90</v>
      </c>
      <c r="I293" s="251"/>
      <c r="J293" s="177">
        <f>IF(G293&lt;70, C293*E293*16.5*1.5, C293*E293*16.5*1.5)</f>
        <v>74.25</v>
      </c>
      <c r="K293" s="164"/>
      <c r="L293" s="185"/>
      <c r="M293" s="231"/>
      <c r="N293" s="231"/>
      <c r="O293" s="231"/>
      <c r="P293" s="231"/>
      <c r="Q293" s="231"/>
    </row>
    <row r="294" spans="1:17" s="253" customFormat="1" ht="25" customHeight="1">
      <c r="A294" s="269" t="s">
        <v>288</v>
      </c>
      <c r="B294" s="273" t="s">
        <v>458</v>
      </c>
      <c r="C294" s="272">
        <v>3</v>
      </c>
      <c r="D294" s="272">
        <v>1</v>
      </c>
      <c r="E294" s="272">
        <v>1</v>
      </c>
      <c r="F294" s="180">
        <f t="shared" si="38"/>
        <v>74.25</v>
      </c>
      <c r="G294" s="175">
        <v>30</v>
      </c>
      <c r="H294" s="175">
        <f t="shared" si="39"/>
        <v>90</v>
      </c>
      <c r="I294" s="178"/>
      <c r="J294" s="177">
        <f>IF(G294&lt;70, C294*E294*16.5*1.5, C294*E294*16.5*1.5)</f>
        <v>74.25</v>
      </c>
      <c r="K294" s="232"/>
      <c r="L294" s="232"/>
      <c r="M294" s="233"/>
      <c r="N294" s="233"/>
      <c r="O294" s="233"/>
      <c r="P294" s="233"/>
      <c r="Q294" s="233"/>
    </row>
    <row r="295" spans="1:17" s="253" customFormat="1" ht="25" customHeight="1">
      <c r="A295" s="330"/>
      <c r="B295" s="314" t="s">
        <v>375</v>
      </c>
      <c r="C295" s="315">
        <f t="shared" ref="C295:J295" si="41">SUM(C282:C294)</f>
        <v>39</v>
      </c>
      <c r="D295" s="315">
        <f t="shared" si="41"/>
        <v>13</v>
      </c>
      <c r="E295" s="315">
        <f t="shared" si="41"/>
        <v>43</v>
      </c>
      <c r="F295" s="172">
        <f t="shared" si="41"/>
        <v>3192.75</v>
      </c>
      <c r="G295" s="172">
        <f t="shared" si="41"/>
        <v>390</v>
      </c>
      <c r="H295" s="172">
        <f t="shared" si="41"/>
        <v>3870</v>
      </c>
      <c r="I295" s="172">
        <f t="shared" si="41"/>
        <v>2079</v>
      </c>
      <c r="J295" s="172">
        <f t="shared" si="41"/>
        <v>1113.75</v>
      </c>
      <c r="K295" s="232"/>
      <c r="L295" s="232"/>
      <c r="M295" s="233"/>
      <c r="N295" s="233"/>
      <c r="O295" s="233"/>
      <c r="P295" s="233"/>
      <c r="Q295" s="233"/>
    </row>
    <row r="296" spans="1:17" s="253" customFormat="1" ht="25" customHeight="1">
      <c r="A296" s="311" t="s">
        <v>146</v>
      </c>
      <c r="B296" s="312" t="s">
        <v>500</v>
      </c>
      <c r="C296" s="272"/>
      <c r="D296" s="272"/>
      <c r="E296" s="272"/>
      <c r="F296" s="175"/>
      <c r="G296" s="175"/>
      <c r="H296" s="175"/>
      <c r="I296" s="178"/>
      <c r="J296" s="178"/>
      <c r="K296" s="232"/>
      <c r="L296" s="232"/>
      <c r="M296" s="233"/>
      <c r="N296" s="233"/>
      <c r="O296" s="233"/>
      <c r="P296" s="233"/>
      <c r="Q296" s="233"/>
    </row>
    <row r="297" spans="1:17" s="253" customFormat="1" ht="25" customHeight="1">
      <c r="A297" s="313" t="s">
        <v>505</v>
      </c>
      <c r="B297" s="269" t="s">
        <v>466</v>
      </c>
      <c r="C297" s="272">
        <v>15</v>
      </c>
      <c r="D297" s="272">
        <v>1</v>
      </c>
      <c r="E297" s="272">
        <v>1</v>
      </c>
      <c r="F297" s="180">
        <f>I297+J297+K297</f>
        <v>175</v>
      </c>
      <c r="G297" s="175">
        <v>5</v>
      </c>
      <c r="H297" s="175">
        <f>C297*G297</f>
        <v>75</v>
      </c>
      <c r="I297" s="177">
        <f>G297*35</f>
        <v>175</v>
      </c>
      <c r="J297" s="178"/>
      <c r="K297" s="232"/>
      <c r="L297" s="234"/>
      <c r="M297" s="234"/>
      <c r="N297" s="234"/>
      <c r="O297" s="234"/>
      <c r="P297" s="234"/>
      <c r="Q297" s="234"/>
    </row>
    <row r="298" spans="1:17" s="253" customFormat="1" ht="25" customHeight="1">
      <c r="A298" s="313" t="s">
        <v>506</v>
      </c>
      <c r="B298" s="269" t="s">
        <v>650</v>
      </c>
      <c r="C298" s="272">
        <v>15</v>
      </c>
      <c r="D298" s="272">
        <v>1</v>
      </c>
      <c r="E298" s="272">
        <v>1</v>
      </c>
      <c r="F298" s="180">
        <f t="shared" ref="F298:F307" si="42">I298+J298+K298</f>
        <v>175</v>
      </c>
      <c r="G298" s="175">
        <v>5</v>
      </c>
      <c r="H298" s="175">
        <f>C298*G298</f>
        <v>75</v>
      </c>
      <c r="I298" s="177"/>
      <c r="J298" s="177">
        <f>G298*35</f>
        <v>175</v>
      </c>
      <c r="K298" s="232"/>
      <c r="L298" s="235"/>
      <c r="M298" s="235"/>
      <c r="N298" s="235"/>
      <c r="O298" s="235"/>
      <c r="P298" s="235"/>
      <c r="Q298" s="235"/>
    </row>
    <row r="299" spans="1:17" s="253" customFormat="1" ht="25" customHeight="1">
      <c r="A299" s="313" t="s">
        <v>507</v>
      </c>
      <c r="B299" s="269" t="s">
        <v>467</v>
      </c>
      <c r="C299" s="272">
        <v>15</v>
      </c>
      <c r="D299" s="272">
        <v>1</v>
      </c>
      <c r="E299" s="272">
        <v>1</v>
      </c>
      <c r="F299" s="180">
        <f t="shared" si="42"/>
        <v>175</v>
      </c>
      <c r="G299" s="175">
        <v>5</v>
      </c>
      <c r="H299" s="175">
        <f>C299*G299*E299*D299</f>
        <v>75</v>
      </c>
      <c r="I299" s="177">
        <f>G299*35</f>
        <v>175</v>
      </c>
      <c r="J299" s="177"/>
      <c r="K299" s="232"/>
      <c r="L299" s="236"/>
      <c r="M299" s="236"/>
      <c r="N299" s="236"/>
      <c r="O299" s="236"/>
      <c r="P299" s="236"/>
      <c r="Q299" s="236"/>
    </row>
    <row r="300" spans="1:17" s="253" customFormat="1" ht="25" customHeight="1">
      <c r="A300" s="313" t="s">
        <v>508</v>
      </c>
      <c r="B300" s="269" t="s">
        <v>468</v>
      </c>
      <c r="C300" s="272">
        <v>15</v>
      </c>
      <c r="D300" s="272">
        <v>1</v>
      </c>
      <c r="E300" s="272">
        <v>1</v>
      </c>
      <c r="F300" s="180">
        <f t="shared" si="42"/>
        <v>175</v>
      </c>
      <c r="G300" s="175">
        <v>5</v>
      </c>
      <c r="H300" s="175">
        <f t="shared" ref="H300:H307" si="43">C300*G300*E300*D300</f>
        <v>75</v>
      </c>
      <c r="I300" s="178"/>
      <c r="J300" s="177">
        <f>G300*35</f>
        <v>175</v>
      </c>
      <c r="K300" s="232"/>
      <c r="L300" s="232"/>
      <c r="M300" s="1867"/>
      <c r="N300" s="1867"/>
      <c r="O300" s="1867"/>
      <c r="P300" s="1867"/>
      <c r="Q300" s="1867"/>
    </row>
    <row r="301" spans="1:17" s="253" customFormat="1" ht="25" customHeight="1">
      <c r="A301" s="313" t="s">
        <v>509</v>
      </c>
      <c r="B301" s="269" t="s">
        <v>469</v>
      </c>
      <c r="C301" s="272">
        <v>15</v>
      </c>
      <c r="D301" s="272">
        <v>1</v>
      </c>
      <c r="E301" s="272">
        <v>1</v>
      </c>
      <c r="F301" s="180">
        <f t="shared" si="42"/>
        <v>175</v>
      </c>
      <c r="G301" s="175">
        <v>5</v>
      </c>
      <c r="H301" s="175">
        <f t="shared" si="43"/>
        <v>75</v>
      </c>
      <c r="I301" s="178"/>
      <c r="J301" s="177">
        <f>G301*35</f>
        <v>175</v>
      </c>
      <c r="K301" s="232"/>
      <c r="L301" s="232"/>
      <c r="M301" s="233"/>
      <c r="N301" s="233"/>
      <c r="O301" s="233"/>
      <c r="P301" s="233"/>
      <c r="Q301" s="233"/>
    </row>
    <row r="302" spans="1:17" ht="25" customHeight="1">
      <c r="A302" s="313" t="s">
        <v>510</v>
      </c>
      <c r="B302" s="269" t="s">
        <v>501</v>
      </c>
      <c r="C302" s="272">
        <v>15</v>
      </c>
      <c r="D302" s="272">
        <v>1</v>
      </c>
      <c r="E302" s="272">
        <v>1</v>
      </c>
      <c r="F302" s="180">
        <f t="shared" si="42"/>
        <v>175</v>
      </c>
      <c r="G302" s="175">
        <v>5</v>
      </c>
      <c r="H302" s="175">
        <f t="shared" si="43"/>
        <v>75</v>
      </c>
      <c r="I302" s="177">
        <f>G302*35</f>
        <v>175</v>
      </c>
      <c r="J302" s="254"/>
      <c r="K302" s="232"/>
      <c r="L302" s="232"/>
      <c r="M302" s="233"/>
      <c r="N302" s="233"/>
      <c r="O302" s="233"/>
      <c r="P302" s="233"/>
      <c r="Q302" s="233"/>
    </row>
    <row r="303" spans="1:17" ht="25" customHeight="1">
      <c r="A303" s="313" t="s">
        <v>511</v>
      </c>
      <c r="B303" s="269" t="s">
        <v>502</v>
      </c>
      <c r="C303" s="272">
        <v>15</v>
      </c>
      <c r="D303" s="272">
        <v>1</v>
      </c>
      <c r="E303" s="272">
        <v>1</v>
      </c>
      <c r="F303" s="180">
        <f t="shared" si="42"/>
        <v>175</v>
      </c>
      <c r="G303" s="175">
        <v>5</v>
      </c>
      <c r="H303" s="175">
        <f t="shared" si="43"/>
        <v>75</v>
      </c>
      <c r="I303" s="177">
        <f>G303*35</f>
        <v>175</v>
      </c>
      <c r="J303" s="254"/>
      <c r="K303" s="232"/>
      <c r="L303" s="232"/>
      <c r="M303" s="237"/>
      <c r="N303" s="237"/>
      <c r="O303" s="237"/>
      <c r="P303" s="237"/>
      <c r="Q303" s="237"/>
    </row>
    <row r="304" spans="1:17" ht="25" customHeight="1">
      <c r="A304" s="313" t="s">
        <v>512</v>
      </c>
      <c r="B304" s="275" t="s">
        <v>503</v>
      </c>
      <c r="C304" s="272">
        <v>15</v>
      </c>
      <c r="D304" s="272">
        <v>1</v>
      </c>
      <c r="E304" s="272">
        <v>1</v>
      </c>
      <c r="F304" s="180">
        <f t="shared" si="42"/>
        <v>175</v>
      </c>
      <c r="G304" s="175">
        <v>5</v>
      </c>
      <c r="H304" s="175">
        <f t="shared" si="43"/>
        <v>75</v>
      </c>
      <c r="I304" s="177">
        <f>G304*35</f>
        <v>175</v>
      </c>
      <c r="J304" s="255"/>
      <c r="K304" s="232"/>
      <c r="L304" s="232"/>
      <c r="M304" s="237"/>
      <c r="N304" s="237"/>
      <c r="O304" s="237"/>
      <c r="P304" s="237"/>
      <c r="Q304" s="237"/>
    </row>
    <row r="305" spans="1:17" ht="25" customHeight="1">
      <c r="A305" s="313" t="s">
        <v>513</v>
      </c>
      <c r="B305" s="275" t="s">
        <v>504</v>
      </c>
      <c r="C305" s="272">
        <v>15</v>
      </c>
      <c r="D305" s="272">
        <v>1</v>
      </c>
      <c r="E305" s="272">
        <v>1</v>
      </c>
      <c r="F305" s="180">
        <f t="shared" si="42"/>
        <v>175</v>
      </c>
      <c r="G305" s="175">
        <v>5</v>
      </c>
      <c r="H305" s="175">
        <f t="shared" si="43"/>
        <v>75</v>
      </c>
      <c r="I305" s="177">
        <f>G305*35</f>
        <v>175</v>
      </c>
      <c r="J305" s="177"/>
      <c r="K305" s="232"/>
      <c r="L305" s="232"/>
      <c r="M305" s="237"/>
      <c r="N305" s="237"/>
      <c r="O305" s="237"/>
      <c r="P305" s="237"/>
      <c r="Q305" s="237"/>
    </row>
    <row r="306" spans="1:17" ht="25" customHeight="1">
      <c r="A306" s="313" t="s">
        <v>514</v>
      </c>
      <c r="B306" s="275" t="s">
        <v>551</v>
      </c>
      <c r="C306" s="272">
        <v>15</v>
      </c>
      <c r="D306" s="272">
        <v>1</v>
      </c>
      <c r="E306" s="272">
        <v>1</v>
      </c>
      <c r="F306" s="180">
        <f t="shared" si="42"/>
        <v>175</v>
      </c>
      <c r="G306" s="175">
        <v>5</v>
      </c>
      <c r="H306" s="175">
        <f t="shared" si="43"/>
        <v>75</v>
      </c>
      <c r="I306" s="177">
        <f>G306*35</f>
        <v>175</v>
      </c>
      <c r="J306" s="177"/>
      <c r="K306" s="232"/>
      <c r="L306" s="232"/>
      <c r="M306" s="237"/>
      <c r="N306" s="237"/>
      <c r="O306" s="237"/>
      <c r="P306" s="237"/>
      <c r="Q306" s="237"/>
    </row>
    <row r="307" spans="1:17" ht="25" customHeight="1">
      <c r="A307" s="313" t="s">
        <v>651</v>
      </c>
      <c r="B307" s="275" t="s">
        <v>652</v>
      </c>
      <c r="C307" s="272">
        <v>15</v>
      </c>
      <c r="D307" s="272">
        <v>1</v>
      </c>
      <c r="E307" s="272">
        <v>1</v>
      </c>
      <c r="F307" s="180">
        <f t="shared" si="42"/>
        <v>4515</v>
      </c>
      <c r="G307" s="175">
        <v>129</v>
      </c>
      <c r="H307" s="175">
        <f t="shared" si="43"/>
        <v>1935</v>
      </c>
      <c r="I307" s="255"/>
      <c r="J307" s="177"/>
      <c r="K307" s="177">
        <f>G307*35</f>
        <v>4515</v>
      </c>
      <c r="L307" s="232"/>
      <c r="M307" s="237"/>
      <c r="N307" s="237"/>
      <c r="O307" s="237"/>
      <c r="P307" s="237"/>
      <c r="Q307" s="237"/>
    </row>
    <row r="308" spans="1:17" ht="25" customHeight="1">
      <c r="A308" s="313" t="s">
        <v>653</v>
      </c>
      <c r="B308" s="275" t="s">
        <v>654</v>
      </c>
      <c r="C308" s="272">
        <v>15</v>
      </c>
      <c r="D308" s="272">
        <v>1</v>
      </c>
      <c r="E308" s="272">
        <v>1</v>
      </c>
      <c r="F308" s="172">
        <f t="shared" ref="F308:K308" si="44">SUM(F297:F307)</f>
        <v>6265</v>
      </c>
      <c r="G308" s="172">
        <f t="shared" si="44"/>
        <v>179</v>
      </c>
      <c r="H308" s="172">
        <f t="shared" si="44"/>
        <v>2685</v>
      </c>
      <c r="I308" s="172">
        <f t="shared" si="44"/>
        <v>1225</v>
      </c>
      <c r="J308" s="172">
        <f t="shared" si="44"/>
        <v>525</v>
      </c>
      <c r="K308" s="172">
        <f t="shared" si="44"/>
        <v>4515</v>
      </c>
      <c r="L308" s="232"/>
      <c r="M308" s="237"/>
      <c r="N308" s="237"/>
      <c r="O308" s="237"/>
      <c r="P308" s="237"/>
      <c r="Q308" s="237"/>
    </row>
    <row r="309" spans="1:17" ht="25" customHeight="1">
      <c r="A309" s="313" t="s">
        <v>655</v>
      </c>
      <c r="B309" s="275" t="s">
        <v>656</v>
      </c>
      <c r="C309" s="272">
        <v>15</v>
      </c>
      <c r="D309" s="272">
        <v>1</v>
      </c>
      <c r="E309" s="272">
        <v>1</v>
      </c>
      <c r="F309" s="175"/>
      <c r="G309" s="175"/>
      <c r="H309" s="175"/>
      <c r="I309" s="178"/>
      <c r="J309" s="178"/>
      <c r="K309" s="232"/>
      <c r="L309" s="232"/>
      <c r="M309" s="238"/>
      <c r="N309" s="238"/>
      <c r="O309" s="238"/>
      <c r="P309" s="238"/>
      <c r="Q309" s="238"/>
    </row>
    <row r="310" spans="1:17" ht="25" customHeight="1">
      <c r="A310" s="327"/>
      <c r="B310" s="328" t="s">
        <v>657</v>
      </c>
      <c r="C310" s="272">
        <v>15</v>
      </c>
      <c r="D310" s="272">
        <v>1</v>
      </c>
      <c r="E310" s="272">
        <v>1</v>
      </c>
      <c r="F310" s="175"/>
      <c r="G310" s="175"/>
      <c r="H310" s="175"/>
      <c r="I310" s="178"/>
      <c r="J310" s="178"/>
      <c r="K310" s="232"/>
      <c r="L310" s="232"/>
      <c r="M310" s="233"/>
      <c r="N310" s="233"/>
      <c r="O310" s="233"/>
      <c r="P310" s="233"/>
      <c r="Q310" s="233"/>
    </row>
    <row r="311" spans="1:17" ht="25" customHeight="1">
      <c r="A311" s="313"/>
      <c r="B311" s="314" t="s">
        <v>375</v>
      </c>
      <c r="C311" s="315">
        <f>SUM(C297:C310)</f>
        <v>210</v>
      </c>
      <c r="D311" s="315">
        <f>SUM(D297:D310)</f>
        <v>14</v>
      </c>
      <c r="E311" s="315">
        <f>SUM(E297:E310)</f>
        <v>14</v>
      </c>
      <c r="F311" s="180">
        <f>I311+J311+K311</f>
        <v>97020</v>
      </c>
      <c r="G311" s="175">
        <v>11</v>
      </c>
      <c r="H311" s="175">
        <f>C311*D311*E311*G311</f>
        <v>452760</v>
      </c>
      <c r="I311" s="177">
        <f>IF(G311&lt;70, C311*E311*16.5*1*2, C311*E311*16.5*1.3*2)</f>
        <v>97020</v>
      </c>
      <c r="J311" s="178"/>
      <c r="K311" s="232"/>
      <c r="L311" s="232"/>
      <c r="M311" s="233"/>
      <c r="N311" s="233"/>
      <c r="O311" s="233"/>
      <c r="P311" s="233"/>
      <c r="Q311" s="233"/>
    </row>
    <row r="312" spans="1:17" ht="25" customHeight="1">
      <c r="A312" s="316">
        <v>3</v>
      </c>
      <c r="B312" s="316" t="s">
        <v>164</v>
      </c>
      <c r="C312" s="272"/>
      <c r="D312" s="272"/>
      <c r="E312" s="272"/>
      <c r="F312" s="180">
        <f>I312+J312+K312</f>
        <v>0</v>
      </c>
      <c r="G312" s="175">
        <v>11</v>
      </c>
      <c r="H312" s="175">
        <f>C312*D312*E312*G312</f>
        <v>0</v>
      </c>
      <c r="I312" s="177">
        <f>IF(G312&lt;70, C312*E312*16.5*1*2, C312*E312*16.5*1.3*2)</f>
        <v>0</v>
      </c>
      <c r="J312" s="178"/>
      <c r="K312" s="232"/>
      <c r="L312" s="232"/>
      <c r="M312" s="233"/>
      <c r="N312" s="233"/>
      <c r="O312" s="233"/>
      <c r="P312" s="233"/>
      <c r="Q312" s="233"/>
    </row>
    <row r="313" spans="1:17" ht="25" customHeight="1">
      <c r="A313" s="317" t="s">
        <v>145</v>
      </c>
      <c r="B313" s="318" t="s">
        <v>165</v>
      </c>
      <c r="C313" s="272"/>
      <c r="D313" s="272"/>
      <c r="E313" s="272"/>
      <c r="F313" s="180">
        <f>I313+J313+K313</f>
        <v>0</v>
      </c>
      <c r="G313" s="175">
        <v>11</v>
      </c>
      <c r="H313" s="175">
        <f>C313*D313*E313*G313</f>
        <v>0</v>
      </c>
      <c r="I313" s="177">
        <f>IF(G313&lt;70, C313*E313*16.5*1*2, C313*E313*16.5*1.3*2)</f>
        <v>0</v>
      </c>
      <c r="J313" s="178"/>
      <c r="K313" s="232"/>
      <c r="L313" s="232"/>
      <c r="M313" s="233"/>
      <c r="N313" s="233"/>
      <c r="O313" s="233"/>
      <c r="P313" s="233"/>
      <c r="Q313" s="233"/>
    </row>
    <row r="314" spans="1:17" ht="25" customHeight="1">
      <c r="A314" s="269" t="s">
        <v>224</v>
      </c>
      <c r="B314" s="270" t="s">
        <v>470</v>
      </c>
      <c r="C314" s="272">
        <v>3</v>
      </c>
      <c r="D314" s="272">
        <v>1</v>
      </c>
      <c r="E314" s="272">
        <v>1</v>
      </c>
      <c r="F314" s="175"/>
      <c r="G314" s="175"/>
      <c r="H314" s="175"/>
      <c r="I314" s="178"/>
      <c r="J314" s="178"/>
      <c r="K314" s="232"/>
      <c r="L314" s="232"/>
      <c r="M314" s="233"/>
      <c r="N314" s="233"/>
      <c r="O314" s="233"/>
      <c r="P314" s="233"/>
      <c r="Q314" s="233"/>
    </row>
    <row r="315" spans="1:17" ht="25" customHeight="1">
      <c r="A315" s="269" t="s">
        <v>225</v>
      </c>
      <c r="B315" s="270" t="s">
        <v>471</v>
      </c>
      <c r="C315" s="272">
        <v>3</v>
      </c>
      <c r="D315" s="272">
        <v>1</v>
      </c>
      <c r="E315" s="272">
        <v>1</v>
      </c>
      <c r="F315" s="175"/>
      <c r="G315" s="175"/>
      <c r="H315" s="175"/>
      <c r="I315" s="178"/>
      <c r="J315" s="178"/>
      <c r="K315" s="232"/>
      <c r="L315" s="232"/>
      <c r="M315" s="233"/>
      <c r="N315" s="233"/>
      <c r="O315" s="233"/>
      <c r="P315" s="233"/>
      <c r="Q315" s="233"/>
    </row>
    <row r="316" spans="1:17" ht="25" customHeight="1">
      <c r="A316" s="313" t="s">
        <v>472</v>
      </c>
      <c r="B316" s="269" t="s">
        <v>473</v>
      </c>
      <c r="C316" s="272">
        <v>3</v>
      </c>
      <c r="D316" s="272">
        <v>1</v>
      </c>
      <c r="E316" s="272">
        <v>1</v>
      </c>
      <c r="F316" s="175"/>
      <c r="G316" s="175"/>
      <c r="H316" s="175"/>
      <c r="I316" s="178"/>
      <c r="J316" s="178"/>
      <c r="K316" s="232"/>
      <c r="L316" s="232"/>
      <c r="M316" s="233"/>
      <c r="N316" s="233"/>
      <c r="O316" s="233"/>
      <c r="P316" s="233"/>
      <c r="Q316" s="233"/>
    </row>
    <row r="317" spans="1:17" ht="25" customHeight="1">
      <c r="A317" s="311" t="s">
        <v>146</v>
      </c>
      <c r="B317" s="312" t="s">
        <v>166</v>
      </c>
      <c r="C317" s="272"/>
      <c r="D317" s="272"/>
      <c r="E317" s="272"/>
      <c r="F317" s="180">
        <f>I317+J317+K317</f>
        <v>600</v>
      </c>
      <c r="G317" s="175"/>
      <c r="H317" s="175"/>
      <c r="I317" s="178">
        <v>600</v>
      </c>
      <c r="J317" s="178"/>
      <c r="K317" s="232"/>
      <c r="L317" s="232"/>
      <c r="M317" s="233"/>
      <c r="N317" s="233"/>
      <c r="O317" s="233"/>
      <c r="P317" s="233"/>
      <c r="Q317" s="233"/>
    </row>
    <row r="318" spans="1:17" ht="25" customHeight="1">
      <c r="A318" s="311"/>
      <c r="B318" s="312" t="s">
        <v>658</v>
      </c>
      <c r="C318" s="272"/>
      <c r="D318" s="272"/>
      <c r="E318" s="272"/>
      <c r="F318" s="180">
        <f>I318+J318+K318</f>
        <v>300</v>
      </c>
      <c r="G318" s="175"/>
      <c r="H318" s="175"/>
      <c r="I318" s="178"/>
      <c r="J318" s="178">
        <v>300</v>
      </c>
      <c r="K318" s="232"/>
      <c r="L318" s="232"/>
      <c r="M318" s="233"/>
      <c r="N318" s="233"/>
      <c r="O318" s="233"/>
      <c r="P318" s="233"/>
      <c r="Q318" s="233"/>
    </row>
    <row r="319" spans="1:17" ht="25" customHeight="1">
      <c r="A319" s="311"/>
      <c r="B319" s="312" t="s">
        <v>659</v>
      </c>
      <c r="C319" s="272"/>
      <c r="D319" s="272"/>
      <c r="E319" s="272"/>
      <c r="F319" s="175"/>
      <c r="G319" s="175"/>
      <c r="H319" s="175"/>
      <c r="I319" s="178"/>
      <c r="J319" s="178"/>
      <c r="K319" s="232"/>
      <c r="L319" s="232"/>
      <c r="M319" s="233"/>
      <c r="N319" s="233"/>
      <c r="O319" s="233"/>
      <c r="P319" s="233"/>
      <c r="Q319" s="233"/>
    </row>
    <row r="320" spans="1:17" ht="25" customHeight="1">
      <c r="A320" s="311"/>
      <c r="B320" s="312" t="s">
        <v>474</v>
      </c>
      <c r="C320" s="272"/>
      <c r="D320" s="272"/>
      <c r="E320" s="272"/>
      <c r="F320" s="175"/>
      <c r="G320" s="175"/>
      <c r="H320" s="175"/>
      <c r="I320" s="178"/>
      <c r="J320" s="178"/>
      <c r="K320" s="232"/>
      <c r="L320" s="232"/>
      <c r="M320" s="233"/>
      <c r="N320" s="233"/>
      <c r="O320" s="233"/>
      <c r="P320" s="233"/>
      <c r="Q320" s="233"/>
    </row>
    <row r="321" spans="1:17" ht="25" customHeight="1">
      <c r="A321" s="313"/>
      <c r="B321" s="269" t="s">
        <v>475</v>
      </c>
      <c r="C321" s="272"/>
      <c r="D321" s="272"/>
      <c r="E321" s="272"/>
      <c r="F321" s="180">
        <f>I321+J321+K321</f>
        <v>1120</v>
      </c>
      <c r="G321" s="175"/>
      <c r="H321" s="175"/>
      <c r="I321" s="178">
        <v>1120</v>
      </c>
      <c r="J321" s="178"/>
      <c r="K321" s="232"/>
      <c r="L321" s="232"/>
      <c r="M321" s="233"/>
      <c r="N321" s="233"/>
      <c r="O321" s="233"/>
      <c r="P321" s="233"/>
      <c r="Q321" s="233"/>
    </row>
    <row r="322" spans="1:17" ht="25" customHeight="1">
      <c r="A322" s="311" t="s">
        <v>167</v>
      </c>
      <c r="B322" s="312" t="s">
        <v>168</v>
      </c>
      <c r="C322" s="272"/>
      <c r="D322" s="272"/>
      <c r="E322" s="272"/>
      <c r="F322" s="180">
        <f>I322+J322+K322</f>
        <v>680</v>
      </c>
      <c r="G322" s="175"/>
      <c r="H322" s="175"/>
      <c r="I322" s="178"/>
      <c r="J322" s="178">
        <v>680</v>
      </c>
      <c r="K322" s="232"/>
      <c r="L322" s="232"/>
      <c r="M322" s="233"/>
      <c r="N322" s="233"/>
      <c r="O322" s="233"/>
      <c r="P322" s="233"/>
      <c r="Q322" s="233"/>
    </row>
    <row r="323" spans="1:17" ht="25" customHeight="1">
      <c r="A323" s="313"/>
      <c r="B323" s="269" t="s">
        <v>660</v>
      </c>
      <c r="C323" s="272"/>
      <c r="D323" s="272"/>
      <c r="E323" s="272"/>
      <c r="F323" s="175">
        <f>SUM(F311:F322)</f>
        <v>99720</v>
      </c>
      <c r="G323" s="172">
        <f>SUM(G311:G322)</f>
        <v>33</v>
      </c>
      <c r="H323" s="172">
        <f>SUM(H311:H322)</f>
        <v>452760</v>
      </c>
      <c r="I323" s="172">
        <f>SUM(I311:I322)</f>
        <v>98740</v>
      </c>
      <c r="J323" s="172">
        <f>SUM(J311:J322)</f>
        <v>980</v>
      </c>
      <c r="K323" s="232"/>
      <c r="L323" s="232"/>
      <c r="M323" s="233"/>
      <c r="N323" s="233"/>
      <c r="O323" s="233"/>
      <c r="P323" s="233"/>
      <c r="Q323" s="233"/>
    </row>
    <row r="324" spans="1:17" ht="25" customHeight="1">
      <c r="A324" s="313"/>
      <c r="B324" s="269" t="s">
        <v>476</v>
      </c>
      <c r="C324" s="272"/>
      <c r="D324" s="272"/>
      <c r="E324" s="272"/>
      <c r="F324" s="175"/>
      <c r="G324" s="175"/>
      <c r="H324" s="175"/>
      <c r="I324" s="178"/>
      <c r="J324" s="178"/>
      <c r="K324" s="232"/>
      <c r="L324" s="232"/>
      <c r="M324" s="233"/>
      <c r="N324" s="233"/>
      <c r="O324" s="233"/>
      <c r="P324" s="233"/>
      <c r="Q324" s="233"/>
    </row>
    <row r="325" spans="1:17" ht="25" customHeight="1">
      <c r="A325" s="313"/>
      <c r="B325" s="269" t="s">
        <v>475</v>
      </c>
      <c r="C325" s="272"/>
      <c r="D325" s="272"/>
      <c r="E325" s="272"/>
      <c r="F325" s="175"/>
      <c r="G325" s="175"/>
      <c r="H325" s="175"/>
      <c r="I325" s="178"/>
      <c r="J325" s="178"/>
      <c r="K325" s="232"/>
      <c r="L325" s="232"/>
      <c r="M325" s="233"/>
      <c r="N325" s="233"/>
      <c r="O325" s="233"/>
      <c r="P325" s="233"/>
      <c r="Q325" s="233"/>
    </row>
    <row r="326" spans="1:17" ht="25" customHeight="1">
      <c r="A326" s="313"/>
      <c r="B326" s="314" t="s">
        <v>375</v>
      </c>
      <c r="C326" s="315">
        <f>SUM(C314:C325)</f>
        <v>9</v>
      </c>
      <c r="D326" s="315">
        <f>SUM(D314:D325)</f>
        <v>3</v>
      </c>
      <c r="E326" s="315">
        <f>SUM(E314:E325)</f>
        <v>3</v>
      </c>
      <c r="F326" s="175"/>
      <c r="G326" s="175"/>
      <c r="H326" s="175"/>
      <c r="I326" s="178"/>
      <c r="J326" s="178"/>
      <c r="K326" s="232"/>
      <c r="L326" s="232"/>
      <c r="M326" s="233"/>
      <c r="N326" s="233"/>
      <c r="O326" s="233"/>
      <c r="P326" s="233"/>
      <c r="Q326" s="233"/>
    </row>
    <row r="327" spans="1:17" ht="25" customHeight="1">
      <c r="A327" s="277" t="s">
        <v>495</v>
      </c>
      <c r="B327" s="277" t="s">
        <v>496</v>
      </c>
      <c r="C327" s="272"/>
      <c r="D327" s="272"/>
      <c r="E327" s="272"/>
      <c r="F327" s="180">
        <f>I327+J327+K327</f>
        <v>0</v>
      </c>
      <c r="G327" s="186">
        <v>40</v>
      </c>
      <c r="H327" s="175">
        <f>C327*D327*E327*G327</f>
        <v>0</v>
      </c>
      <c r="I327" s="177">
        <f>IF(G327&lt;70, C327*E327*16.5*1, C327*E327*16.5*1.3)</f>
        <v>0</v>
      </c>
      <c r="J327" s="178"/>
      <c r="K327" s="232"/>
      <c r="L327" s="232"/>
      <c r="M327" s="233"/>
      <c r="N327" s="233"/>
      <c r="O327" s="233"/>
      <c r="P327" s="233"/>
      <c r="Q327" s="233"/>
    </row>
    <row r="328" spans="1:17" ht="25" customHeight="1">
      <c r="A328" s="277">
        <v>1</v>
      </c>
      <c r="B328" s="279" t="s">
        <v>223</v>
      </c>
      <c r="C328" s="272"/>
      <c r="D328" s="272"/>
      <c r="E328" s="272"/>
      <c r="F328" s="180">
        <f>I328+J328+K328</f>
        <v>0</v>
      </c>
      <c r="G328" s="186">
        <v>40</v>
      </c>
      <c r="H328" s="175">
        <f>C328*D328*E328*G328</f>
        <v>0</v>
      </c>
      <c r="I328" s="177">
        <f>IF(G328&lt;70, C328*E328*16.5*1, C328*E328*16.5*1.3)</f>
        <v>0</v>
      </c>
      <c r="J328" s="178"/>
      <c r="K328" s="232"/>
      <c r="L328" s="232"/>
      <c r="M328" s="233"/>
      <c r="N328" s="233"/>
      <c r="O328" s="233"/>
      <c r="P328" s="233"/>
      <c r="Q328" s="233"/>
    </row>
    <row r="329" spans="1:17" ht="25" customHeight="1">
      <c r="A329" s="277" t="s">
        <v>376</v>
      </c>
      <c r="B329" s="279" t="s">
        <v>161</v>
      </c>
      <c r="C329" s="272"/>
      <c r="D329" s="272"/>
      <c r="E329" s="272"/>
      <c r="F329" s="175">
        <f>SUM(F327:F328)</f>
        <v>0</v>
      </c>
      <c r="G329" s="172">
        <f>SUM(G327:G328)</f>
        <v>80</v>
      </c>
      <c r="H329" s="172">
        <f>SUM(H327:H328)</f>
        <v>0</v>
      </c>
      <c r="I329" s="172">
        <f>SUM(I327:I328)</f>
        <v>0</v>
      </c>
      <c r="J329" s="172">
        <f>SUM(J327:J328)</f>
        <v>0</v>
      </c>
      <c r="K329" s="232"/>
      <c r="L329" s="232"/>
      <c r="M329" s="233"/>
      <c r="N329" s="233"/>
      <c r="O329" s="233"/>
      <c r="P329" s="233"/>
      <c r="Q329" s="233"/>
    </row>
    <row r="330" spans="1:17" s="339" customFormat="1" ht="25" customHeight="1">
      <c r="A330" s="333" t="s">
        <v>224</v>
      </c>
      <c r="B330" s="331" t="s">
        <v>661</v>
      </c>
      <c r="C330" s="334">
        <v>2</v>
      </c>
      <c r="D330" s="334">
        <v>1</v>
      </c>
      <c r="E330" s="334">
        <v>5</v>
      </c>
      <c r="F330" s="348">
        <f t="shared" ref="F330:K330" si="45">F273+F295+F308+F329+F323</f>
        <v>110522.5</v>
      </c>
      <c r="G330" s="349">
        <f t="shared" si="45"/>
        <v>2041</v>
      </c>
      <c r="H330" s="349">
        <f t="shared" si="45"/>
        <v>463159</v>
      </c>
      <c r="I330" s="349">
        <f t="shared" si="45"/>
        <v>103388.75</v>
      </c>
      <c r="J330" s="349">
        <f t="shared" si="45"/>
        <v>2618.75</v>
      </c>
      <c r="K330" s="349">
        <f t="shared" si="45"/>
        <v>4515</v>
      </c>
      <c r="L330" s="350">
        <f>'Bieu3 QLGD'!F25</f>
        <v>1890</v>
      </c>
      <c r="M330" s="351">
        <f>'Bieu3 QLGD'!N25</f>
        <v>1606.5</v>
      </c>
      <c r="N330" s="351">
        <f>I330-M330</f>
        <v>101782.25</v>
      </c>
      <c r="O330" s="351">
        <f>'Bieu3 QLGD'!O25</f>
        <v>1311.75</v>
      </c>
      <c r="P330" s="351">
        <f>'Bieu3 QLGD'!P25</f>
        <v>680</v>
      </c>
      <c r="Q330" s="351"/>
    </row>
    <row r="331" spans="1:17" s="339" customFormat="1" ht="25" customHeight="1">
      <c r="A331" s="333" t="s">
        <v>224</v>
      </c>
      <c r="B331" s="331" t="s">
        <v>662</v>
      </c>
      <c r="C331" s="334">
        <v>2</v>
      </c>
      <c r="D331" s="334">
        <v>1</v>
      </c>
      <c r="E331" s="334">
        <v>4</v>
      </c>
      <c r="F331" s="352"/>
      <c r="G331" s="353"/>
      <c r="H331" s="353"/>
      <c r="I331" s="353"/>
      <c r="J331" s="353"/>
      <c r="K331" s="353"/>
      <c r="L331" s="354"/>
      <c r="M331" s="338"/>
      <c r="N331" s="338"/>
      <c r="O331" s="338"/>
      <c r="P331" s="338"/>
      <c r="Q331" s="338"/>
    </row>
    <row r="332" spans="1:17" s="339" customFormat="1" ht="25" customHeight="1">
      <c r="A332" s="333" t="s">
        <v>225</v>
      </c>
      <c r="B332" s="331" t="s">
        <v>663</v>
      </c>
      <c r="C332" s="334">
        <v>2</v>
      </c>
      <c r="D332" s="334">
        <v>1</v>
      </c>
      <c r="E332" s="334">
        <v>4</v>
      </c>
      <c r="F332" s="335"/>
      <c r="G332" s="335"/>
      <c r="H332" s="335"/>
      <c r="I332" s="335"/>
      <c r="J332" s="335"/>
      <c r="K332" s="336"/>
      <c r="L332" s="337"/>
      <c r="M332" s="337"/>
      <c r="N332" s="337"/>
      <c r="O332" s="337"/>
      <c r="P332" s="337"/>
      <c r="Q332" s="338"/>
    </row>
    <row r="333" spans="1:17" s="339" customFormat="1" ht="25" customHeight="1">
      <c r="A333" s="333"/>
      <c r="B333" s="340" t="s">
        <v>375</v>
      </c>
      <c r="C333" s="341">
        <f>SUM(C331:C332)</f>
        <v>4</v>
      </c>
      <c r="D333" s="341">
        <f>SUM(D331:D332)</f>
        <v>2</v>
      </c>
      <c r="E333" s="341">
        <f>SUM(E331:E332)</f>
        <v>8</v>
      </c>
      <c r="F333" s="342"/>
      <c r="G333" s="342"/>
      <c r="H333" s="342"/>
      <c r="I333" s="342"/>
      <c r="J333" s="342"/>
      <c r="K333" s="343"/>
      <c r="L333" s="344"/>
      <c r="M333" s="344"/>
      <c r="N333" s="344"/>
      <c r="O333" s="344"/>
      <c r="P333" s="344"/>
      <c r="Q333" s="338"/>
    </row>
    <row r="334" spans="1:17" s="339" customFormat="1" ht="25" customHeight="1">
      <c r="A334" s="333"/>
      <c r="B334" s="340" t="s">
        <v>477</v>
      </c>
      <c r="C334" s="341">
        <f>C273+C295+C311+C333+C326</f>
        <v>330</v>
      </c>
      <c r="D334" s="341">
        <f>D273+D295+D311+D333+D326</f>
        <v>58.6</v>
      </c>
      <c r="E334" s="341">
        <f>E273+E295+E311+E333+E326</f>
        <v>97</v>
      </c>
      <c r="F334" s="342"/>
      <c r="G334" s="342"/>
      <c r="H334" s="342"/>
      <c r="I334" s="342"/>
      <c r="J334" s="342"/>
      <c r="K334" s="343"/>
      <c r="L334" s="344"/>
      <c r="M334" s="344"/>
      <c r="N334" s="344"/>
      <c r="O334" s="344"/>
      <c r="P334" s="344"/>
      <c r="Q334" s="338"/>
    </row>
    <row r="335" spans="1:17" s="339" customFormat="1" ht="25" customHeight="1">
      <c r="A335" s="345"/>
      <c r="B335" s="346"/>
      <c r="C335" s="342"/>
      <c r="D335" s="342"/>
      <c r="E335" s="347"/>
      <c r="F335" s="342"/>
      <c r="G335" s="342"/>
      <c r="H335" s="342"/>
      <c r="I335" s="342"/>
      <c r="J335" s="342"/>
      <c r="K335" s="343"/>
      <c r="L335" s="344"/>
      <c r="M335" s="344"/>
      <c r="N335" s="344"/>
      <c r="O335" s="344"/>
      <c r="P335" s="344"/>
      <c r="Q335" s="338"/>
    </row>
    <row r="336" spans="1:17" ht="25" customHeight="1">
      <c r="A336" s="168" t="s">
        <v>6</v>
      </c>
      <c r="B336" s="168" t="s">
        <v>160</v>
      </c>
      <c r="C336" s="172">
        <f t="shared" ref="C336:K336" si="46">C48+C185+C211+C273+C126</f>
        <v>76</v>
      </c>
      <c r="D336" s="172">
        <f t="shared" si="46"/>
        <v>29.6</v>
      </c>
      <c r="E336" s="172">
        <f t="shared" si="46"/>
        <v>38</v>
      </c>
      <c r="F336" s="172">
        <f t="shared" si="46"/>
        <v>45451.149999999994</v>
      </c>
      <c r="G336" s="172">
        <f t="shared" si="46"/>
        <v>5620</v>
      </c>
      <c r="H336" s="172">
        <f t="shared" si="46"/>
        <v>1371917.36</v>
      </c>
      <c r="I336" s="172">
        <f t="shared" si="46"/>
        <v>45253.149999999994</v>
      </c>
      <c r="J336" s="172">
        <f t="shared" si="46"/>
        <v>198</v>
      </c>
      <c r="K336" s="172">
        <f t="shared" si="46"/>
        <v>0</v>
      </c>
      <c r="L336" s="239" t="e">
        <f>L330+L240+#REF!+L165+L85</f>
        <v>#REF!</v>
      </c>
      <c r="M336" s="239" t="e">
        <f>M330+M240+#REF!+M165+M85</f>
        <v>#REF!</v>
      </c>
      <c r="N336" s="239" t="e">
        <f>N330+N240+#REF!+N165+N85</f>
        <v>#REF!</v>
      </c>
      <c r="O336" s="239" t="e">
        <f>O330+O240+#REF!+O165+O85</f>
        <v>#REF!</v>
      </c>
      <c r="P336" s="239" t="e">
        <f>P330+P240+#REF!+P165+P85</f>
        <v>#REF!</v>
      </c>
      <c r="Q336" s="179"/>
    </row>
    <row r="337" spans="1:17" ht="25" customHeight="1">
      <c r="A337" s="183" t="s">
        <v>7</v>
      </c>
      <c r="B337" s="168" t="s">
        <v>170</v>
      </c>
      <c r="C337" s="172">
        <f t="shared" ref="C337:K337" si="47">C308+C295+C223+C195+C63+C146</f>
        <v>63</v>
      </c>
      <c r="D337" s="172">
        <f t="shared" si="47"/>
        <v>17</v>
      </c>
      <c r="E337" s="172">
        <f t="shared" si="47"/>
        <v>62</v>
      </c>
      <c r="F337" s="172">
        <f t="shared" si="47"/>
        <v>58648.25</v>
      </c>
      <c r="G337" s="172">
        <f t="shared" si="47"/>
        <v>928</v>
      </c>
      <c r="H337" s="172">
        <f t="shared" si="47"/>
        <v>217128</v>
      </c>
      <c r="I337" s="172">
        <f t="shared" si="47"/>
        <v>52494.5</v>
      </c>
      <c r="J337" s="172">
        <f t="shared" si="47"/>
        <v>1638.75</v>
      </c>
      <c r="K337" s="172">
        <f t="shared" si="47"/>
        <v>4515</v>
      </c>
      <c r="L337" s="172">
        <f>L308+L295+L223+L195+L146</f>
        <v>0</v>
      </c>
      <c r="M337" s="172">
        <f>M308+M295+M223+M195+M146</f>
        <v>0</v>
      </c>
      <c r="N337" s="172">
        <f>N308+N295+N223+N195+N146</f>
        <v>0</v>
      </c>
      <c r="O337" s="172">
        <f>O308+O295+O223+O195+O146</f>
        <v>0</v>
      </c>
      <c r="P337" s="172">
        <f>P308+P295+P223+P195+P146</f>
        <v>0</v>
      </c>
      <c r="Q337" s="179"/>
    </row>
    <row r="338" spans="1:17" ht="25" customHeight="1">
      <c r="A338" s="183" t="s">
        <v>24</v>
      </c>
      <c r="B338" s="171" t="s">
        <v>164</v>
      </c>
      <c r="C338" s="172">
        <f t="shared" ref="C338:J338" si="48">C323+C229</f>
        <v>0</v>
      </c>
      <c r="D338" s="172">
        <f t="shared" si="48"/>
        <v>0</v>
      </c>
      <c r="E338" s="172">
        <f t="shared" si="48"/>
        <v>0</v>
      </c>
      <c r="F338" s="172">
        <f t="shared" si="48"/>
        <v>99720</v>
      </c>
      <c r="G338" s="172">
        <f t="shared" si="48"/>
        <v>33</v>
      </c>
      <c r="H338" s="172">
        <f t="shared" si="48"/>
        <v>452760</v>
      </c>
      <c r="I338" s="172">
        <f t="shared" si="48"/>
        <v>98740</v>
      </c>
      <c r="J338" s="172">
        <f t="shared" si="48"/>
        <v>980</v>
      </c>
      <c r="K338" s="172">
        <f t="shared" ref="K338:P338" si="49">K329+K229</f>
        <v>0</v>
      </c>
      <c r="L338" s="172">
        <f t="shared" si="49"/>
        <v>0</v>
      </c>
      <c r="M338" s="172">
        <f t="shared" si="49"/>
        <v>0</v>
      </c>
      <c r="N338" s="172">
        <f t="shared" si="49"/>
        <v>0</v>
      </c>
      <c r="O338" s="172">
        <f t="shared" si="49"/>
        <v>0</v>
      </c>
      <c r="P338" s="172">
        <f t="shared" si="49"/>
        <v>0</v>
      </c>
      <c r="Q338" s="179"/>
    </row>
    <row r="339" spans="1:17" ht="25" customHeight="1">
      <c r="A339" s="183"/>
      <c r="B339" s="171" t="s">
        <v>530</v>
      </c>
      <c r="C339" s="172" t="e">
        <f>C329+C239+#REF!+C164+C83</f>
        <v>#REF!</v>
      </c>
      <c r="D339" s="172" t="e">
        <f>D329+D239+#REF!+D164+D83</f>
        <v>#REF!</v>
      </c>
      <c r="E339" s="172" t="e">
        <f>E329+E239+#REF!+E164+E83</f>
        <v>#REF!</v>
      </c>
      <c r="F339" s="172" t="e">
        <f>F329+F239+#REF!+F164+F83</f>
        <v>#REF!</v>
      </c>
      <c r="G339" s="172" t="e">
        <f>G329+G239+#REF!+G164+G83</f>
        <v>#REF!</v>
      </c>
      <c r="H339" s="172" t="e">
        <f>H329+H239+#REF!+H164+H83</f>
        <v>#REF!</v>
      </c>
      <c r="I339" s="172" t="e">
        <f>I329+I239+#REF!+I164+I83</f>
        <v>#REF!</v>
      </c>
      <c r="J339" s="172" t="e">
        <f>J329+J239+#REF!+J164+J83</f>
        <v>#REF!</v>
      </c>
      <c r="K339" s="172" t="e">
        <f>K329+K239+#REF!+K164+K83</f>
        <v>#REF!</v>
      </c>
      <c r="L339" s="172" t="e">
        <f>L329+L239+#REF!+L164+L83</f>
        <v>#REF!</v>
      </c>
      <c r="M339" s="172" t="e">
        <f>M329+M239+#REF!+M164+M83</f>
        <v>#REF!</v>
      </c>
      <c r="N339" s="172" t="e">
        <f>N329+N239+#REF!+N164+N83</f>
        <v>#REF!</v>
      </c>
      <c r="O339" s="172" t="e">
        <f>O329+O239+#REF!+O164+O83</f>
        <v>#REF!</v>
      </c>
      <c r="P339" s="172" t="e">
        <f>P329+P239+#REF!+P164+P83</f>
        <v>#REF!</v>
      </c>
      <c r="Q339" s="179"/>
    </row>
    <row r="340" spans="1:17" ht="25" customHeight="1">
      <c r="A340" s="183"/>
      <c r="B340" s="171" t="s">
        <v>531</v>
      </c>
      <c r="C340" s="172"/>
      <c r="D340" s="172"/>
      <c r="E340" s="172"/>
      <c r="F340" s="172"/>
      <c r="G340" s="172"/>
      <c r="H340" s="172"/>
      <c r="I340" s="172"/>
      <c r="J340" s="172"/>
      <c r="K340" s="240"/>
      <c r="L340" s="240"/>
      <c r="M340" s="240"/>
      <c r="N340" s="240"/>
      <c r="O340" s="240"/>
      <c r="P340" s="240"/>
      <c r="Q340" s="179"/>
    </row>
    <row r="341" spans="1:17" ht="25" customHeight="1">
      <c r="A341" s="164"/>
      <c r="B341" s="191" t="s">
        <v>479</v>
      </c>
      <c r="C341" s="187" t="e">
        <f>C330+C240+#REF!+C165+C85</f>
        <v>#REF!</v>
      </c>
      <c r="D341" s="187" t="e">
        <f>D330+D240+#REF!+D165+D85</f>
        <v>#REF!</v>
      </c>
      <c r="E341" s="187" t="e">
        <f>E330+E240+#REF!+E165+E85</f>
        <v>#REF!</v>
      </c>
      <c r="F341" s="187" t="e">
        <f>F330+F240+#REF!+F165+F85</f>
        <v>#REF!</v>
      </c>
      <c r="G341" s="187" t="e">
        <f>G330+G240+#REF!+G165+G85</f>
        <v>#REF!</v>
      </c>
      <c r="H341" s="187" t="e">
        <f>H330+H240+#REF!+H165+H85</f>
        <v>#REF!</v>
      </c>
      <c r="I341" s="187" t="e">
        <f>I330+I240+#REF!+I165+I85</f>
        <v>#REF!</v>
      </c>
      <c r="J341" s="187" t="e">
        <f>J330+J240+#REF!+J165+J85</f>
        <v>#REF!</v>
      </c>
      <c r="K341" s="187" t="e">
        <f>K330+K240+#REF!+K165+K85</f>
        <v>#REF!</v>
      </c>
      <c r="L341" s="241" t="e">
        <f>L330+L240+#REF!+L165+L85</f>
        <v>#REF!</v>
      </c>
      <c r="M341" s="242" t="e">
        <f>M330+M240+#REF!+M165+M85</f>
        <v>#REF!</v>
      </c>
      <c r="N341" s="242" t="e">
        <f>N330+N240+#REF!+N165+N85</f>
        <v>#REF!</v>
      </c>
      <c r="O341" s="241" t="e">
        <f>O330+O240+#REF!+O165+O85</f>
        <v>#REF!</v>
      </c>
      <c r="P341" s="241" t="e">
        <f>P330+P240+#REF!+P165+P85</f>
        <v>#REF!</v>
      </c>
      <c r="Q341" s="179"/>
    </row>
    <row r="342" spans="1:17">
      <c r="C342" s="131"/>
      <c r="D342" s="1868" t="s">
        <v>555</v>
      </c>
      <c r="E342" s="1868"/>
      <c r="F342" s="1868"/>
      <c r="G342" s="1868"/>
      <c r="H342" s="1868"/>
      <c r="I342" s="1868"/>
      <c r="J342" s="166" t="e">
        <f>J341+K341</f>
        <v>#REF!</v>
      </c>
      <c r="K342" s="45"/>
      <c r="L342" s="45"/>
      <c r="M342" s="45"/>
      <c r="N342" s="1869" t="s">
        <v>573</v>
      </c>
      <c r="O342" s="1869"/>
      <c r="P342" s="1869"/>
      <c r="Q342" s="1869"/>
    </row>
    <row r="343" spans="1:17" ht="12.75" customHeight="1">
      <c r="A343" s="51"/>
      <c r="B343" s="51"/>
      <c r="C343" s="131"/>
      <c r="D343" s="131"/>
      <c r="E343" s="131"/>
      <c r="F343" s="131"/>
      <c r="G343" s="131"/>
      <c r="H343" s="131"/>
      <c r="I343" s="131"/>
      <c r="J343" s="131"/>
      <c r="K343" s="45"/>
      <c r="L343" s="45"/>
      <c r="M343" s="45"/>
      <c r="N343" s="1848" t="s">
        <v>536</v>
      </c>
      <c r="O343" s="1848"/>
      <c r="P343" s="1848"/>
      <c r="Q343" s="1848"/>
    </row>
    <row r="344" spans="1:17">
      <c r="A344" s="51"/>
      <c r="B344" s="1870" t="s">
        <v>148</v>
      </c>
      <c r="C344" s="1870"/>
      <c r="D344" s="1870"/>
      <c r="E344" s="1870"/>
      <c r="F344" s="1870"/>
      <c r="G344" s="1870"/>
      <c r="H344" s="1870"/>
      <c r="I344" s="1870"/>
      <c r="J344" s="1870"/>
      <c r="K344" s="1870"/>
      <c r="L344" s="45"/>
      <c r="M344" s="45"/>
      <c r="N344" s="45"/>
      <c r="O344" s="45"/>
      <c r="P344" s="45"/>
      <c r="Q344" s="167"/>
    </row>
    <row r="345" spans="1:17" ht="26.25" customHeight="1">
      <c r="A345" s="51"/>
      <c r="B345" s="1871" t="s">
        <v>235</v>
      </c>
      <c r="C345" s="1871"/>
      <c r="D345" s="1871"/>
      <c r="E345" s="1871"/>
      <c r="F345" s="1871"/>
      <c r="G345" s="1871"/>
      <c r="H345" s="1871"/>
      <c r="I345" s="1871"/>
      <c r="J345" s="1871"/>
      <c r="K345" s="1871"/>
      <c r="L345" s="45"/>
      <c r="M345" s="45"/>
      <c r="N345" s="45"/>
      <c r="O345" s="45"/>
      <c r="P345" s="45"/>
      <c r="Q345" s="167"/>
    </row>
    <row r="346" spans="1:17" ht="30" customHeight="1">
      <c r="A346" s="51"/>
      <c r="B346" s="1866" t="s">
        <v>72</v>
      </c>
      <c r="C346" s="1866"/>
      <c r="D346" s="1866"/>
      <c r="E346" s="1866"/>
      <c r="F346" s="1866"/>
      <c r="G346" s="1866"/>
      <c r="H346" s="1866"/>
      <c r="I346" s="1866"/>
      <c r="J346" s="1866"/>
      <c r="K346" s="1866"/>
      <c r="L346" s="45"/>
      <c r="M346" s="45"/>
      <c r="N346" s="1842" t="s">
        <v>537</v>
      </c>
      <c r="O346" s="1842"/>
      <c r="P346" s="1842"/>
      <c r="Q346" s="1842"/>
    </row>
  </sheetData>
  <mergeCells count="30">
    <mergeCell ref="F5:F6"/>
    <mergeCell ref="G5:G6"/>
    <mergeCell ref="H5:H6"/>
    <mergeCell ref="I5:K5"/>
    <mergeCell ref="L5:L6"/>
    <mergeCell ref="O5:O6"/>
    <mergeCell ref="P5:P6"/>
    <mergeCell ref="Q5:Q6"/>
    <mergeCell ref="M300:Q300"/>
    <mergeCell ref="N5:N6"/>
    <mergeCell ref="M5:M6"/>
    <mergeCell ref="Q50:Q52"/>
    <mergeCell ref="Q128:Q134"/>
    <mergeCell ref="A1:C1"/>
    <mergeCell ref="I1:N1"/>
    <mergeCell ref="A2:C2"/>
    <mergeCell ref="I2:N2"/>
    <mergeCell ref="A3:Q3"/>
    <mergeCell ref="A5:A6"/>
    <mergeCell ref="B5:B6"/>
    <mergeCell ref="C5:C6"/>
    <mergeCell ref="D5:D6"/>
    <mergeCell ref="E5:E6"/>
    <mergeCell ref="N342:Q342"/>
    <mergeCell ref="N343:Q343"/>
    <mergeCell ref="B344:K344"/>
    <mergeCell ref="B345:K345"/>
    <mergeCell ref="B346:K346"/>
    <mergeCell ref="N346:Q346"/>
    <mergeCell ref="D342:I342"/>
  </mergeCells>
  <pageMargins left="0.2" right="0.2" top="0.5" bottom="0.42" header="0.62" footer="0.6"/>
  <pageSetup paperSize="9" scale="85" orientation="landscape"/>
  <ignoredErrors>
    <ignoredError sqref="F12 F220:F222"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87"/>
  <sheetViews>
    <sheetView zoomScale="125" zoomScaleNormal="125" zoomScalePageLayoutView="125" workbookViewId="0">
      <pane xSplit="2" ySplit="7" topLeftCell="C72" activePane="bottomRight" state="frozen"/>
      <selection pane="topRight" activeCell="C1" sqref="C1"/>
      <selection pane="bottomLeft" activeCell="A8" sqref="A8"/>
      <selection pane="bottomRight" activeCell="B12" sqref="B12"/>
    </sheetView>
  </sheetViews>
  <sheetFormatPr baseColWidth="10" defaultColWidth="9.1640625" defaultRowHeight="13"/>
  <cols>
    <col min="1" max="1" width="5.5" style="527" customWidth="1"/>
    <col min="2" max="2" width="41.1640625" style="527" customWidth="1"/>
    <col min="3" max="3" width="7" style="529" customWidth="1"/>
    <col min="4" max="4" width="7" style="529" hidden="1" customWidth="1"/>
    <col min="5" max="5" width="6" style="529" customWidth="1"/>
    <col min="6" max="6" width="7.5" style="132" customWidth="1"/>
    <col min="7" max="7" width="6.83203125" style="529" customWidth="1"/>
    <col min="8" max="8" width="11.1640625" style="529" customWidth="1"/>
    <col min="9" max="10" width="8.33203125" style="529" customWidth="1"/>
    <col min="11" max="11" width="6.5" style="530" customWidth="1"/>
    <col min="12" max="12" width="7.6640625" style="530" customWidth="1"/>
    <col min="13" max="13" width="9.5" style="530" customWidth="1"/>
    <col min="14" max="14" width="11" style="530" customWidth="1"/>
    <col min="15" max="15" width="6.6640625" style="530" customWidth="1"/>
    <col min="16" max="16" width="9.6640625" style="530" customWidth="1"/>
    <col min="17" max="17" width="12.6640625" style="387" customWidth="1"/>
    <col min="18" max="16384" width="9.1640625" style="387"/>
  </cols>
  <sheetData>
    <row r="1" spans="1:17" ht="14.25" customHeight="1">
      <c r="A1" s="1895" t="s">
        <v>3</v>
      </c>
      <c r="B1" s="1895"/>
      <c r="C1" s="1895"/>
      <c r="D1" s="533"/>
      <c r="E1" s="533"/>
      <c r="F1" s="533"/>
      <c r="G1" s="533"/>
      <c r="H1" s="132"/>
      <c r="I1" s="1883"/>
      <c r="J1" s="1883"/>
      <c r="K1" s="1883"/>
      <c r="L1" s="1883"/>
      <c r="M1" s="1883"/>
      <c r="N1" s="1883"/>
      <c r="O1" s="385"/>
      <c r="P1" s="385"/>
      <c r="Q1" s="386" t="s">
        <v>29</v>
      </c>
    </row>
    <row r="2" spans="1:17">
      <c r="A2" s="1896" t="s">
        <v>521</v>
      </c>
      <c r="B2" s="1896"/>
      <c r="C2" s="1896"/>
      <c r="D2" s="534"/>
      <c r="E2" s="534"/>
      <c r="F2" s="533"/>
      <c r="G2" s="534"/>
      <c r="H2" s="132"/>
      <c r="I2" s="1883"/>
      <c r="J2" s="1883"/>
      <c r="K2" s="1883"/>
      <c r="L2" s="1883"/>
      <c r="M2" s="1883"/>
      <c r="N2" s="1883"/>
      <c r="O2" s="385"/>
      <c r="P2" s="385"/>
      <c r="Q2" s="385"/>
    </row>
    <row r="3" spans="1:17" ht="30" customHeight="1">
      <c r="A3" s="1897" t="s">
        <v>748</v>
      </c>
      <c r="B3" s="1897"/>
      <c r="C3" s="1897"/>
      <c r="D3" s="1897"/>
      <c r="E3" s="1897"/>
      <c r="F3" s="1897"/>
      <c r="G3" s="1897"/>
      <c r="H3" s="1897"/>
      <c r="I3" s="1897"/>
      <c r="J3" s="1897"/>
      <c r="K3" s="1897"/>
      <c r="L3" s="1897"/>
      <c r="M3" s="1897"/>
      <c r="N3" s="1897"/>
      <c r="O3" s="1897"/>
      <c r="P3" s="1897"/>
      <c r="Q3" s="1897"/>
    </row>
    <row r="4" spans="1:17">
      <c r="A4" s="388"/>
      <c r="B4" s="388"/>
      <c r="C4" s="389"/>
      <c r="D4" s="389"/>
      <c r="E4" s="389"/>
      <c r="F4" s="389"/>
      <c r="G4" s="389"/>
      <c r="H4" s="389"/>
      <c r="I4" s="389"/>
      <c r="J4" s="389"/>
      <c r="K4" s="388"/>
      <c r="L4" s="388"/>
      <c r="M4" s="388"/>
      <c r="N4" s="388" t="s">
        <v>19</v>
      </c>
      <c r="O4" s="388"/>
      <c r="P4" s="388"/>
      <c r="Q4" s="389"/>
    </row>
    <row r="5" spans="1:17" ht="67.5" customHeight="1">
      <c r="A5" s="1898" t="s">
        <v>0</v>
      </c>
      <c r="B5" s="1884" t="s">
        <v>169</v>
      </c>
      <c r="C5" s="1884" t="s">
        <v>202</v>
      </c>
      <c r="D5" s="1884" t="s">
        <v>203</v>
      </c>
      <c r="E5" s="1884" t="s">
        <v>150</v>
      </c>
      <c r="F5" s="1884" t="s">
        <v>157</v>
      </c>
      <c r="G5" s="1884" t="s">
        <v>206</v>
      </c>
      <c r="H5" s="1884" t="s">
        <v>205</v>
      </c>
      <c r="I5" s="1889" t="s">
        <v>207</v>
      </c>
      <c r="J5" s="1890"/>
      <c r="K5" s="1891"/>
      <c r="L5" s="1884" t="s">
        <v>208</v>
      </c>
      <c r="M5" s="1884" t="s">
        <v>209</v>
      </c>
      <c r="N5" s="1884" t="s">
        <v>38</v>
      </c>
      <c r="O5" s="1884" t="s">
        <v>84</v>
      </c>
      <c r="P5" s="1884" t="s">
        <v>85</v>
      </c>
      <c r="Q5" s="1884" t="s">
        <v>2</v>
      </c>
    </row>
    <row r="6" spans="1:17" ht="50" customHeight="1">
      <c r="A6" s="1899"/>
      <c r="B6" s="1885"/>
      <c r="C6" s="1885"/>
      <c r="D6" s="1885"/>
      <c r="E6" s="1885"/>
      <c r="F6" s="1885"/>
      <c r="G6" s="1885"/>
      <c r="H6" s="1885"/>
      <c r="I6" s="390" t="s">
        <v>158</v>
      </c>
      <c r="J6" s="390" t="s">
        <v>99</v>
      </c>
      <c r="K6" s="390" t="s">
        <v>156</v>
      </c>
      <c r="L6" s="1885"/>
      <c r="M6" s="1885"/>
      <c r="N6" s="1885"/>
      <c r="O6" s="1885"/>
      <c r="P6" s="1885"/>
      <c r="Q6" s="1885"/>
    </row>
    <row r="7" spans="1:17" s="395" customFormat="1" ht="30" customHeight="1">
      <c r="A7" s="391" t="s">
        <v>113</v>
      </c>
      <c r="B7" s="392" t="s">
        <v>114</v>
      </c>
      <c r="C7" s="392" t="s">
        <v>115</v>
      </c>
      <c r="D7" s="393" t="s">
        <v>116</v>
      </c>
      <c r="E7" s="393" t="s">
        <v>116</v>
      </c>
      <c r="F7" s="393" t="s">
        <v>117</v>
      </c>
      <c r="G7" s="393" t="s">
        <v>118</v>
      </c>
      <c r="H7" s="393" t="s">
        <v>580</v>
      </c>
      <c r="I7" s="393" t="s">
        <v>121</v>
      </c>
      <c r="J7" s="393" t="s">
        <v>123</v>
      </c>
      <c r="K7" s="393" t="s">
        <v>132</v>
      </c>
      <c r="L7" s="393" t="s">
        <v>124</v>
      </c>
      <c r="M7" s="393" t="s">
        <v>125</v>
      </c>
      <c r="N7" s="393" t="s">
        <v>126</v>
      </c>
      <c r="O7" s="394" t="s">
        <v>127</v>
      </c>
      <c r="P7" s="394" t="s">
        <v>128</v>
      </c>
      <c r="Q7" s="393" t="s">
        <v>204</v>
      </c>
    </row>
    <row r="8" spans="1:17" ht="25" customHeight="1">
      <c r="A8" s="396" t="s">
        <v>5</v>
      </c>
      <c r="B8" s="396" t="s">
        <v>292</v>
      </c>
      <c r="C8" s="397"/>
      <c r="D8" s="397"/>
      <c r="E8" s="397"/>
      <c r="F8" s="398"/>
      <c r="G8" s="397"/>
      <c r="H8" s="397"/>
      <c r="I8" s="397"/>
      <c r="J8" s="397"/>
      <c r="K8" s="396"/>
      <c r="L8" s="396"/>
      <c r="M8" s="396"/>
      <c r="N8" s="396"/>
      <c r="O8" s="396"/>
      <c r="P8" s="396"/>
      <c r="Q8" s="396"/>
    </row>
    <row r="9" spans="1:17" ht="25" customHeight="1">
      <c r="A9" s="399" t="s">
        <v>6</v>
      </c>
      <c r="B9" s="399" t="s">
        <v>575</v>
      </c>
      <c r="C9" s="400"/>
      <c r="D9" s="400"/>
      <c r="E9" s="400"/>
      <c r="F9" s="401"/>
      <c r="G9" s="400"/>
      <c r="H9" s="400"/>
      <c r="I9" s="400"/>
      <c r="J9" s="400"/>
      <c r="K9" s="399"/>
      <c r="L9" s="399"/>
      <c r="M9" s="399"/>
      <c r="N9" s="399"/>
      <c r="O9" s="399"/>
      <c r="P9" s="399"/>
      <c r="Q9" s="399"/>
    </row>
    <row r="10" spans="1:17" ht="25" customHeight="1">
      <c r="A10" s="399">
        <v>1</v>
      </c>
      <c r="B10" s="399" t="s">
        <v>4</v>
      </c>
      <c r="C10" s="400"/>
      <c r="D10" s="400"/>
      <c r="E10" s="400"/>
      <c r="F10" s="401"/>
      <c r="G10" s="400"/>
      <c r="H10" s="400"/>
      <c r="I10" s="400"/>
      <c r="J10" s="400"/>
      <c r="K10" s="399"/>
      <c r="L10" s="399"/>
      <c r="M10" s="399"/>
      <c r="N10" s="399"/>
      <c r="O10" s="399"/>
      <c r="P10" s="399"/>
      <c r="Q10" s="399"/>
    </row>
    <row r="11" spans="1:17" s="50" customFormat="1" ht="25" customHeight="1">
      <c r="A11" s="402" t="s">
        <v>145</v>
      </c>
      <c r="B11" s="403" t="s">
        <v>159</v>
      </c>
      <c r="C11" s="404"/>
      <c r="D11" s="404"/>
      <c r="E11" s="404"/>
      <c r="F11" s="532"/>
      <c r="G11" s="404"/>
      <c r="H11" s="404"/>
      <c r="I11" s="405"/>
      <c r="J11" s="405"/>
      <c r="K11" s="405"/>
      <c r="L11" s="405"/>
      <c r="M11" s="405"/>
      <c r="N11" s="405"/>
      <c r="O11" s="405"/>
      <c r="P11" s="405"/>
      <c r="Q11" s="406"/>
    </row>
    <row r="12" spans="1:17" s="50" customFormat="1" ht="25" customHeight="1">
      <c r="A12" s="434"/>
      <c r="B12" s="318" t="s">
        <v>291</v>
      </c>
      <c r="C12" s="462"/>
      <c r="D12" s="462"/>
      <c r="E12" s="462"/>
      <c r="F12" s="409"/>
      <c r="G12" s="462"/>
      <c r="H12" s="462"/>
      <c r="I12" s="487"/>
      <c r="J12" s="487"/>
      <c r="K12" s="487"/>
      <c r="L12" s="487"/>
      <c r="M12" s="487"/>
      <c r="N12" s="487"/>
      <c r="O12" s="487"/>
      <c r="P12" s="487"/>
      <c r="Q12" s="535"/>
    </row>
    <row r="13" spans="1:17" s="50" customFormat="1" ht="25" customHeight="1">
      <c r="A13" s="407" t="s">
        <v>224</v>
      </c>
      <c r="B13" s="408" t="s">
        <v>248</v>
      </c>
      <c r="C13" s="409">
        <v>2</v>
      </c>
      <c r="D13" s="410">
        <v>1</v>
      </c>
      <c r="E13" s="409">
        <v>1</v>
      </c>
      <c r="F13" s="180">
        <f>I13+J13+K13</f>
        <v>33</v>
      </c>
      <c r="G13" s="409">
        <v>40</v>
      </c>
      <c r="H13" s="532">
        <f>C13*E13*G13</f>
        <v>80</v>
      </c>
      <c r="I13" s="196">
        <f>IF(G13&lt;70, C13*E13*16.5*1, C13*E13*16.5*1.3)</f>
        <v>33</v>
      </c>
      <c r="J13" s="405"/>
      <c r="K13" s="405"/>
      <c r="L13" s="405"/>
      <c r="M13" s="405"/>
      <c r="N13" s="405"/>
      <c r="O13" s="405"/>
      <c r="P13" s="405"/>
      <c r="Q13" s="406"/>
    </row>
    <row r="14" spans="1:17" s="50" customFormat="1" ht="25" customHeight="1">
      <c r="A14" s="407" t="s">
        <v>225</v>
      </c>
      <c r="B14" s="408" t="s">
        <v>263</v>
      </c>
      <c r="C14" s="409">
        <v>3</v>
      </c>
      <c r="D14" s="409">
        <v>1</v>
      </c>
      <c r="E14" s="409">
        <v>6</v>
      </c>
      <c r="F14" s="180">
        <f>I14+J53+K53</f>
        <v>297</v>
      </c>
      <c r="G14" s="409">
        <v>50</v>
      </c>
      <c r="H14" s="532">
        <f>C14*E14*G14</f>
        <v>900</v>
      </c>
      <c r="I14" s="196">
        <f>IF(G14&lt;70, C14*E14*16.5*1, C14*E14*16.5*1.3)</f>
        <v>297</v>
      </c>
      <c r="J14" s="405"/>
      <c r="K14" s="405"/>
      <c r="L14" s="405"/>
      <c r="M14" s="405"/>
      <c r="N14" s="405"/>
      <c r="O14" s="405"/>
      <c r="P14" s="405"/>
      <c r="Q14" s="402" t="s">
        <v>682</v>
      </c>
    </row>
    <row r="15" spans="1:17" s="50" customFormat="1" ht="25" customHeight="1">
      <c r="A15" s="407" t="s">
        <v>226</v>
      </c>
      <c r="B15" s="408" t="s">
        <v>249</v>
      </c>
      <c r="C15" s="409">
        <v>2</v>
      </c>
      <c r="D15" s="409">
        <v>1</v>
      </c>
      <c r="E15" s="409">
        <v>2</v>
      </c>
      <c r="F15" s="180">
        <f>I15+J15+K15</f>
        <v>85.8</v>
      </c>
      <c r="G15" s="409">
        <v>80</v>
      </c>
      <c r="H15" s="532">
        <f>C15*E15*G15</f>
        <v>320</v>
      </c>
      <c r="I15" s="196">
        <f>IF(G15&lt;70, C15*E15*16.5*1, C15*E15*16.5*1.3)</f>
        <v>85.8</v>
      </c>
      <c r="J15" s="405"/>
      <c r="K15" s="405"/>
      <c r="L15" s="405"/>
      <c r="M15" s="405"/>
      <c r="N15" s="405"/>
      <c r="O15" s="405"/>
      <c r="P15" s="405"/>
      <c r="Q15" s="406"/>
    </row>
    <row r="16" spans="1:17" s="50" customFormat="1" ht="25" customHeight="1">
      <c r="A16" s="407" t="s">
        <v>227</v>
      </c>
      <c r="B16" s="408" t="s">
        <v>620</v>
      </c>
      <c r="C16" s="409">
        <v>2</v>
      </c>
      <c r="D16" s="409">
        <v>1</v>
      </c>
      <c r="E16" s="409">
        <v>3</v>
      </c>
      <c r="F16" s="180">
        <f>I16+J16+K16</f>
        <v>128.70000000000002</v>
      </c>
      <c r="G16" s="409">
        <v>70</v>
      </c>
      <c r="H16" s="532">
        <f>C16*E16*G16</f>
        <v>420</v>
      </c>
      <c r="I16" s="196">
        <f>IF(G16&lt;70, C16*E16*16.5*1, C16*E16*16.5*1.3)</f>
        <v>128.70000000000002</v>
      </c>
      <c r="J16" s="405"/>
      <c r="K16" s="405"/>
      <c r="L16" s="405"/>
      <c r="M16" s="405"/>
      <c r="N16" s="405"/>
      <c r="O16" s="405"/>
      <c r="P16" s="405"/>
      <c r="Q16" s="406"/>
    </row>
    <row r="17" spans="1:17" s="50" customFormat="1" ht="25" customHeight="1">
      <c r="A17" s="407" t="s">
        <v>228</v>
      </c>
      <c r="B17" s="411" t="s">
        <v>621</v>
      </c>
      <c r="C17" s="409">
        <v>2</v>
      </c>
      <c r="D17" s="409">
        <v>1</v>
      </c>
      <c r="E17" s="409">
        <v>3</v>
      </c>
      <c r="F17" s="180">
        <f>I17+J17+K17</f>
        <v>128.70000000000002</v>
      </c>
      <c r="G17" s="409">
        <v>70</v>
      </c>
      <c r="H17" s="532">
        <f>C17*E17*G17</f>
        <v>420</v>
      </c>
      <c r="I17" s="196">
        <f>IF(G17&lt;70, C17*E17*16.5*1, C17*E17*16.5*1.3)</f>
        <v>128.70000000000002</v>
      </c>
      <c r="J17" s="405"/>
      <c r="K17" s="405"/>
      <c r="L17" s="405"/>
      <c r="M17" s="405"/>
      <c r="N17" s="405"/>
      <c r="O17" s="405"/>
      <c r="P17" s="405"/>
      <c r="Q17" s="406"/>
    </row>
    <row r="18" spans="1:17" s="50" customFormat="1" ht="25" customHeight="1">
      <c r="A18" s="407"/>
      <c r="B18" s="536" t="s">
        <v>646</v>
      </c>
      <c r="C18" s="409"/>
      <c r="D18" s="409"/>
      <c r="E18" s="409"/>
      <c r="F18" s="414"/>
      <c r="G18" s="409"/>
      <c r="H18" s="409"/>
      <c r="I18" s="412"/>
      <c r="J18" s="487"/>
      <c r="K18" s="487"/>
      <c r="L18" s="487"/>
      <c r="M18" s="487"/>
      <c r="N18" s="487"/>
      <c r="O18" s="487"/>
      <c r="P18" s="487"/>
      <c r="Q18" s="535"/>
    </row>
    <row r="19" spans="1:17" s="50" customFormat="1" ht="25" customHeight="1">
      <c r="A19" s="407"/>
      <c r="B19" s="414" t="s">
        <v>633</v>
      </c>
      <c r="C19" s="409">
        <v>2</v>
      </c>
      <c r="D19" s="409">
        <v>1</v>
      </c>
      <c r="E19" s="409">
        <v>5</v>
      </c>
      <c r="F19" s="180">
        <f>I19+J57+K57</f>
        <v>165</v>
      </c>
      <c r="G19" s="409">
        <v>50</v>
      </c>
      <c r="H19" s="532">
        <f>C19*E19*G19</f>
        <v>500</v>
      </c>
      <c r="I19" s="196">
        <f>IF(G19&lt;70, C19*E19*16.5*1, C19*E19*16.5*1.3)</f>
        <v>165</v>
      </c>
      <c r="J19" s="487"/>
      <c r="K19" s="487"/>
      <c r="L19" s="487"/>
      <c r="M19" s="487"/>
      <c r="N19" s="487"/>
      <c r="O19" s="487"/>
      <c r="P19" s="487"/>
      <c r="Q19" s="535"/>
    </row>
    <row r="20" spans="1:17" s="50" customFormat="1" ht="25" customHeight="1">
      <c r="A20" s="407" t="s">
        <v>229</v>
      </c>
      <c r="B20" s="408" t="s">
        <v>628</v>
      </c>
      <c r="C20" s="409">
        <v>4</v>
      </c>
      <c r="D20" s="409">
        <v>1</v>
      </c>
      <c r="E20" s="409">
        <v>2</v>
      </c>
      <c r="F20" s="180">
        <f>I20+J47+K47</f>
        <v>171.6</v>
      </c>
      <c r="G20" s="409">
        <v>70</v>
      </c>
      <c r="H20" s="532">
        <f>C20*E20*G20</f>
        <v>560</v>
      </c>
      <c r="I20" s="196">
        <f>IF(G20&lt;70, C20*E20*16.5*1, C20*E20*16.5*1.3)</f>
        <v>171.6</v>
      </c>
      <c r="J20" s="405"/>
      <c r="K20" s="405"/>
      <c r="L20" s="405"/>
      <c r="M20" s="405"/>
      <c r="N20" s="405"/>
      <c r="O20" s="405"/>
      <c r="P20" s="405"/>
      <c r="Q20" s="406"/>
    </row>
    <row r="21" spans="1:17" s="50" customFormat="1" ht="25" customHeight="1">
      <c r="A21" s="407" t="s">
        <v>280</v>
      </c>
      <c r="B21" s="408" t="s">
        <v>247</v>
      </c>
      <c r="C21" s="412">
        <v>2</v>
      </c>
      <c r="D21" s="410">
        <v>1</v>
      </c>
      <c r="E21" s="412">
        <v>1</v>
      </c>
      <c r="F21" s="180">
        <f>I21+J21+K21</f>
        <v>33</v>
      </c>
      <c r="G21" s="412">
        <v>40</v>
      </c>
      <c r="H21" s="532">
        <f>C21*E21*G21</f>
        <v>80</v>
      </c>
      <c r="I21" s="196">
        <f>IF(G21&lt;70, C21*E21*16.5*1, C21*E21*16.5*1.3)</f>
        <v>33</v>
      </c>
      <c r="J21" s="405"/>
      <c r="K21" s="405"/>
      <c r="L21" s="405"/>
      <c r="M21" s="405"/>
      <c r="N21" s="405"/>
      <c r="O21" s="405"/>
      <c r="P21" s="405"/>
      <c r="Q21" s="406"/>
    </row>
    <row r="22" spans="1:17" s="50" customFormat="1" ht="25" customHeight="1">
      <c r="A22" s="407"/>
      <c r="B22" s="420" t="s">
        <v>637</v>
      </c>
      <c r="C22" s="409">
        <v>5</v>
      </c>
      <c r="D22" s="409">
        <v>1</v>
      </c>
      <c r="E22" s="409">
        <v>4</v>
      </c>
      <c r="F22" s="180">
        <f>I22+J22+K22</f>
        <v>429</v>
      </c>
      <c r="G22" s="409">
        <v>70</v>
      </c>
      <c r="H22" s="532">
        <f>C22*E22*G22</f>
        <v>1400</v>
      </c>
      <c r="I22" s="196">
        <f>IF(G22&lt;70, C22*E22*16.5*1, C22*E22*16.5*1.3)</f>
        <v>429</v>
      </c>
      <c r="J22" s="487"/>
      <c r="K22" s="487"/>
      <c r="L22" s="487"/>
      <c r="M22" s="487"/>
      <c r="N22" s="487"/>
      <c r="O22" s="487"/>
      <c r="P22" s="487"/>
      <c r="Q22" s="535"/>
    </row>
    <row r="23" spans="1:17" s="50" customFormat="1" ht="25" customHeight="1">
      <c r="A23" s="407" t="s">
        <v>281</v>
      </c>
      <c r="B23" s="537" t="s">
        <v>698</v>
      </c>
      <c r="C23" s="412"/>
      <c r="D23" s="410"/>
      <c r="E23" s="412"/>
      <c r="F23" s="414"/>
      <c r="G23" s="412"/>
      <c r="H23" s="409"/>
      <c r="I23" s="412"/>
      <c r="J23" s="405"/>
      <c r="K23" s="405"/>
      <c r="L23" s="405"/>
      <c r="M23" s="405"/>
      <c r="N23" s="405"/>
      <c r="O23" s="405"/>
      <c r="P23" s="405"/>
      <c r="Q23" s="406"/>
    </row>
    <row r="24" spans="1:17" s="50" customFormat="1" ht="25" customHeight="1">
      <c r="A24" s="407"/>
      <c r="B24" s="411" t="s">
        <v>622</v>
      </c>
      <c r="C24" s="409">
        <v>2</v>
      </c>
      <c r="D24" s="409">
        <v>1</v>
      </c>
      <c r="E24" s="409">
        <v>2</v>
      </c>
      <c r="F24" s="180">
        <f>I24+J23+K23</f>
        <v>85.8</v>
      </c>
      <c r="G24" s="409">
        <v>80</v>
      </c>
      <c r="H24" s="532">
        <f>C24*E24*G24</f>
        <v>320</v>
      </c>
      <c r="I24" s="196">
        <f>IF(G24&lt;70, C24*E24*16.5*1, C24*E24*16.5*1.3)</f>
        <v>85.8</v>
      </c>
      <c r="J24" s="487"/>
      <c r="K24" s="487"/>
      <c r="L24" s="487"/>
      <c r="M24" s="487"/>
      <c r="N24" s="487"/>
      <c r="O24" s="487"/>
      <c r="P24" s="487"/>
      <c r="Q24" s="535"/>
    </row>
    <row r="25" spans="1:17" s="50" customFormat="1" ht="25" customHeight="1">
      <c r="A25" s="407"/>
      <c r="B25" s="413" t="s">
        <v>625</v>
      </c>
      <c r="C25" s="409">
        <v>3</v>
      </c>
      <c r="D25" s="409">
        <v>1</v>
      </c>
      <c r="E25" s="409">
        <v>4</v>
      </c>
      <c r="F25" s="180">
        <f>I25+J40+K40</f>
        <v>257.40000000000003</v>
      </c>
      <c r="G25" s="409">
        <v>70</v>
      </c>
      <c r="H25" s="532">
        <f>C25*E25*G25</f>
        <v>840</v>
      </c>
      <c r="I25" s="196">
        <f>IF(G25&lt;70, C25*E25*16.5*1, C25*E25*16.5*1.3)</f>
        <v>257.40000000000003</v>
      </c>
      <c r="J25" s="487"/>
      <c r="K25" s="487"/>
      <c r="L25" s="487"/>
      <c r="M25" s="487"/>
      <c r="N25" s="487"/>
      <c r="O25" s="487"/>
      <c r="P25" s="487"/>
      <c r="Q25" s="535"/>
    </row>
    <row r="26" spans="1:17" s="50" customFormat="1" ht="25" customHeight="1">
      <c r="A26" s="407" t="s">
        <v>282</v>
      </c>
      <c r="B26" s="408" t="s">
        <v>623</v>
      </c>
      <c r="C26" s="409">
        <v>1</v>
      </c>
      <c r="D26" s="409">
        <v>1.4</v>
      </c>
      <c r="E26" s="409">
        <v>6</v>
      </c>
      <c r="F26" s="180">
        <f t="shared" ref="F26:F31" si="0">I26+J26+K26</f>
        <v>99</v>
      </c>
      <c r="G26" s="409">
        <v>20</v>
      </c>
      <c r="H26" s="532">
        <f>C26*E26*G26</f>
        <v>120</v>
      </c>
      <c r="I26" s="196">
        <f>IF(G26&lt;70, C26*E26*16.5*1, C26*E26*16.5*1.3)</f>
        <v>99</v>
      </c>
      <c r="J26" s="405"/>
      <c r="K26" s="405"/>
      <c r="L26" s="405"/>
      <c r="M26" s="405"/>
      <c r="N26" s="405"/>
      <c r="O26" s="405"/>
      <c r="P26" s="405"/>
      <c r="Q26" s="406"/>
    </row>
    <row r="27" spans="1:17" s="50" customFormat="1" ht="25" customHeight="1">
      <c r="A27" s="407"/>
      <c r="B27" s="296" t="s">
        <v>645</v>
      </c>
      <c r="C27" s="409"/>
      <c r="D27" s="409"/>
      <c r="E27" s="409"/>
      <c r="F27" s="180">
        <f t="shared" si="0"/>
        <v>0</v>
      </c>
      <c r="G27" s="409"/>
      <c r="H27" s="409"/>
      <c r="I27" s="412"/>
      <c r="J27" s="487"/>
      <c r="K27" s="487"/>
      <c r="L27" s="487"/>
      <c r="M27" s="487"/>
      <c r="N27" s="487"/>
      <c r="O27" s="487"/>
      <c r="P27" s="487"/>
      <c r="Q27" s="535"/>
    </row>
    <row r="28" spans="1:17" s="50" customFormat="1" ht="25" customHeight="1">
      <c r="A28" s="407" t="s">
        <v>283</v>
      </c>
      <c r="B28" s="421" t="s">
        <v>256</v>
      </c>
      <c r="C28" s="419">
        <v>2</v>
      </c>
      <c r="D28" s="409">
        <v>1</v>
      </c>
      <c r="E28" s="409">
        <v>2</v>
      </c>
      <c r="F28" s="180">
        <f t="shared" si="0"/>
        <v>85.8</v>
      </c>
      <c r="G28" s="409">
        <v>70</v>
      </c>
      <c r="H28" s="532">
        <f t="shared" ref="H28:H33" si="1">C28*E28*G28</f>
        <v>280</v>
      </c>
      <c r="I28" s="196">
        <f t="shared" ref="I28:I33" si="2">IF(G28&lt;70, C28*E28*16.5*1, C28*E28*16.5*1.3)</f>
        <v>85.8</v>
      </c>
      <c r="J28" s="197"/>
      <c r="K28" s="197"/>
      <c r="L28" s="197"/>
      <c r="M28" s="197"/>
      <c r="N28" s="197"/>
      <c r="O28" s="197"/>
      <c r="P28" s="197"/>
      <c r="Q28" s="180"/>
    </row>
    <row r="29" spans="1:17" s="50" customFormat="1" ht="25" customHeight="1">
      <c r="A29" s="407" t="s">
        <v>284</v>
      </c>
      <c r="B29" s="421" t="s">
        <v>255</v>
      </c>
      <c r="C29" s="419">
        <v>2</v>
      </c>
      <c r="D29" s="409">
        <v>1</v>
      </c>
      <c r="E29" s="409">
        <v>2</v>
      </c>
      <c r="F29" s="180">
        <f t="shared" si="0"/>
        <v>85.8</v>
      </c>
      <c r="G29" s="409">
        <v>70</v>
      </c>
      <c r="H29" s="532">
        <f t="shared" si="1"/>
        <v>280</v>
      </c>
      <c r="I29" s="196">
        <f t="shared" si="2"/>
        <v>85.8</v>
      </c>
      <c r="J29" s="197"/>
      <c r="K29" s="197"/>
      <c r="L29" s="197"/>
      <c r="M29" s="197"/>
      <c r="N29" s="197"/>
      <c r="O29" s="197"/>
      <c r="P29" s="197"/>
      <c r="Q29" s="180"/>
    </row>
    <row r="30" spans="1:17" s="50" customFormat="1" ht="25" customHeight="1">
      <c r="A30" s="407" t="s">
        <v>287</v>
      </c>
      <c r="B30" s="422" t="s">
        <v>642</v>
      </c>
      <c r="C30" s="419">
        <v>1</v>
      </c>
      <c r="D30" s="409">
        <v>1.4</v>
      </c>
      <c r="E30" s="409">
        <v>14</v>
      </c>
      <c r="F30" s="180">
        <f t="shared" si="0"/>
        <v>231</v>
      </c>
      <c r="G30" s="409">
        <v>20</v>
      </c>
      <c r="H30" s="532">
        <f t="shared" si="1"/>
        <v>280</v>
      </c>
      <c r="I30" s="196">
        <f t="shared" si="2"/>
        <v>231</v>
      </c>
      <c r="J30" s="197"/>
      <c r="K30" s="197"/>
      <c r="L30" s="197"/>
      <c r="M30" s="197"/>
      <c r="N30" s="197"/>
      <c r="O30" s="197"/>
      <c r="P30" s="197"/>
      <c r="Q30" s="180"/>
    </row>
    <row r="31" spans="1:17" s="50" customFormat="1" ht="25" customHeight="1">
      <c r="A31" s="407"/>
      <c r="B31" s="408" t="s">
        <v>624</v>
      </c>
      <c r="C31" s="409">
        <v>3</v>
      </c>
      <c r="D31" s="409">
        <v>1</v>
      </c>
      <c r="E31" s="409">
        <v>2</v>
      </c>
      <c r="F31" s="180">
        <f t="shared" si="0"/>
        <v>128.70000000000002</v>
      </c>
      <c r="G31" s="409">
        <v>80</v>
      </c>
      <c r="H31" s="532">
        <f t="shared" si="1"/>
        <v>480</v>
      </c>
      <c r="I31" s="196">
        <f t="shared" si="2"/>
        <v>128.70000000000002</v>
      </c>
      <c r="J31" s="363"/>
      <c r="K31" s="363"/>
      <c r="L31" s="363"/>
      <c r="M31" s="363"/>
      <c r="N31" s="363"/>
      <c r="O31" s="363"/>
      <c r="P31" s="363"/>
      <c r="Q31" s="414"/>
    </row>
    <row r="32" spans="1:17" s="50" customFormat="1" ht="25" customHeight="1">
      <c r="A32" s="407"/>
      <c r="B32" s="408" t="s">
        <v>250</v>
      </c>
      <c r="C32" s="409">
        <v>2</v>
      </c>
      <c r="D32" s="409">
        <v>1</v>
      </c>
      <c r="E32" s="409">
        <v>1</v>
      </c>
      <c r="F32" s="180">
        <f>I32+J29+K29</f>
        <v>33</v>
      </c>
      <c r="G32" s="409">
        <v>40</v>
      </c>
      <c r="H32" s="532">
        <f t="shared" si="1"/>
        <v>80</v>
      </c>
      <c r="I32" s="196">
        <f t="shared" si="2"/>
        <v>33</v>
      </c>
      <c r="J32" s="363"/>
      <c r="K32" s="363"/>
      <c r="L32" s="363"/>
      <c r="M32" s="363"/>
      <c r="N32" s="363"/>
      <c r="O32" s="363"/>
      <c r="P32" s="363"/>
      <c r="Q32" s="414"/>
    </row>
    <row r="33" spans="1:17" s="50" customFormat="1" ht="25" customHeight="1">
      <c r="A33" s="407"/>
      <c r="B33" s="408" t="s">
        <v>264</v>
      </c>
      <c r="C33" s="409">
        <v>3</v>
      </c>
      <c r="D33" s="409">
        <v>1</v>
      </c>
      <c r="E33" s="409">
        <v>2</v>
      </c>
      <c r="F33" s="180">
        <f>I33+J54+K54</f>
        <v>128.70000000000002</v>
      </c>
      <c r="G33" s="409">
        <v>70</v>
      </c>
      <c r="H33" s="532">
        <f t="shared" si="1"/>
        <v>420</v>
      </c>
      <c r="I33" s="196">
        <f t="shared" si="2"/>
        <v>128.70000000000002</v>
      </c>
      <c r="J33" s="363"/>
      <c r="K33" s="363"/>
      <c r="L33" s="363"/>
      <c r="M33" s="363"/>
      <c r="N33" s="363"/>
      <c r="O33" s="363"/>
      <c r="P33" s="363"/>
      <c r="Q33" s="414"/>
    </row>
    <row r="34" spans="1:17" s="50" customFormat="1" ht="25" customHeight="1">
      <c r="A34" s="407" t="s">
        <v>288</v>
      </c>
      <c r="B34" s="408" t="s">
        <v>252</v>
      </c>
      <c r="C34" s="409">
        <v>4</v>
      </c>
      <c r="D34" s="409">
        <v>1.4</v>
      </c>
      <c r="E34" s="409">
        <v>6</v>
      </c>
      <c r="F34" s="180">
        <f>I34+J34+K34</f>
        <v>396</v>
      </c>
      <c r="G34" s="409">
        <v>20</v>
      </c>
      <c r="H34" s="532">
        <f>C34*E34*G34</f>
        <v>480</v>
      </c>
      <c r="I34" s="196">
        <f>IF(G34&lt;70, C34*E34*16.5*1, C34*E34*16.5*1.3)</f>
        <v>396</v>
      </c>
      <c r="J34" s="197"/>
      <c r="K34" s="197"/>
      <c r="L34" s="197"/>
      <c r="M34" s="197"/>
      <c r="N34" s="197"/>
      <c r="O34" s="197"/>
      <c r="P34" s="197"/>
      <c r="Q34" s="180"/>
    </row>
    <row r="35" spans="1:17" s="50" customFormat="1" ht="25" customHeight="1">
      <c r="A35" s="407" t="s">
        <v>289</v>
      </c>
      <c r="B35" s="408" t="s">
        <v>253</v>
      </c>
      <c r="C35" s="409">
        <v>3</v>
      </c>
      <c r="D35" s="409">
        <v>1.3</v>
      </c>
      <c r="E35" s="409">
        <v>6</v>
      </c>
      <c r="F35" s="180">
        <f>I35+J35+K35</f>
        <v>297</v>
      </c>
      <c r="G35" s="409">
        <v>20</v>
      </c>
      <c r="H35" s="532">
        <f>C35*E35*G35</f>
        <v>360</v>
      </c>
      <c r="I35" s="196">
        <f>IF(G35&lt;70, C35*E35*16.5*1, C35*E35*16.5*1.3)</f>
        <v>297</v>
      </c>
      <c r="J35" s="197"/>
      <c r="K35" s="197"/>
      <c r="L35" s="197"/>
      <c r="M35" s="197"/>
      <c r="N35" s="197"/>
      <c r="O35" s="197"/>
      <c r="P35" s="197"/>
      <c r="Q35" s="180"/>
    </row>
    <row r="36" spans="1:17" s="50" customFormat="1" ht="25" customHeight="1">
      <c r="A36" s="407"/>
      <c r="B36" s="538" t="s">
        <v>699</v>
      </c>
      <c r="C36" s="409"/>
      <c r="D36" s="409"/>
      <c r="E36" s="409"/>
      <c r="F36" s="414"/>
      <c r="G36" s="409"/>
      <c r="H36" s="409"/>
      <c r="I36" s="412"/>
      <c r="J36" s="363"/>
      <c r="K36" s="363"/>
      <c r="L36" s="363"/>
      <c r="M36" s="363"/>
      <c r="N36" s="363"/>
      <c r="O36" s="363"/>
      <c r="P36" s="363"/>
      <c r="Q36" s="414"/>
    </row>
    <row r="37" spans="1:17" s="50" customFormat="1" ht="25" customHeight="1">
      <c r="A37" s="407" t="s">
        <v>290</v>
      </c>
      <c r="B37" s="408" t="s">
        <v>254</v>
      </c>
      <c r="C37" s="409">
        <v>3</v>
      </c>
      <c r="D37" s="409">
        <v>1</v>
      </c>
      <c r="E37" s="409">
        <v>2</v>
      </c>
      <c r="F37" s="180">
        <f>I37+J37+K37</f>
        <v>128.70000000000002</v>
      </c>
      <c r="G37" s="409">
        <v>70</v>
      </c>
      <c r="H37" s="532">
        <f>C37*E37*G37</f>
        <v>420</v>
      </c>
      <c r="I37" s="196">
        <f>IF(G37&lt;70, C37*E37*16.5*1, C37*E37*16.5*1.3)</f>
        <v>128.70000000000002</v>
      </c>
      <c r="J37" s="197"/>
      <c r="K37" s="197"/>
      <c r="L37" s="197"/>
      <c r="M37" s="197"/>
      <c r="N37" s="197"/>
      <c r="O37" s="197"/>
      <c r="P37" s="197"/>
      <c r="Q37" s="180"/>
    </row>
    <row r="38" spans="1:17" s="50" customFormat="1" ht="25" customHeight="1">
      <c r="A38" s="407"/>
      <c r="B38" s="408" t="s">
        <v>629</v>
      </c>
      <c r="C38" s="409">
        <v>2</v>
      </c>
      <c r="D38" s="409">
        <v>1.08</v>
      </c>
      <c r="E38" s="409">
        <v>4</v>
      </c>
      <c r="F38" s="180">
        <f>I38+J48+K48</f>
        <v>132</v>
      </c>
      <c r="G38" s="409">
        <v>50</v>
      </c>
      <c r="H38" s="532">
        <f>C38*E38*G38</f>
        <v>400</v>
      </c>
      <c r="I38" s="196">
        <f>IF(G38&lt;70, C38*E38*16.5*1, C38*E38*16.5*1.3)</f>
        <v>132</v>
      </c>
      <c r="J38" s="363"/>
      <c r="K38" s="363"/>
      <c r="L38" s="363"/>
      <c r="M38" s="363"/>
      <c r="N38" s="363"/>
      <c r="O38" s="363"/>
      <c r="P38" s="363"/>
      <c r="Q38" s="414"/>
    </row>
    <row r="39" spans="1:17" s="50" customFormat="1" ht="25" customHeight="1">
      <c r="A39" s="407"/>
      <c r="B39" s="537" t="s">
        <v>697</v>
      </c>
      <c r="C39" s="409"/>
      <c r="D39" s="409"/>
      <c r="E39" s="409"/>
      <c r="F39" s="414"/>
      <c r="G39" s="409"/>
      <c r="H39" s="409"/>
      <c r="I39" s="412"/>
      <c r="J39" s="363"/>
      <c r="K39" s="363"/>
      <c r="L39" s="363"/>
      <c r="M39" s="363"/>
      <c r="N39" s="363"/>
      <c r="O39" s="363"/>
      <c r="P39" s="363"/>
      <c r="Q39" s="414"/>
    </row>
    <row r="40" spans="1:17" s="50" customFormat="1" ht="25" customHeight="1">
      <c r="A40" s="407" t="s">
        <v>389</v>
      </c>
      <c r="B40" s="408" t="s">
        <v>257</v>
      </c>
      <c r="C40" s="409">
        <v>5</v>
      </c>
      <c r="D40" s="409">
        <v>1</v>
      </c>
      <c r="E40" s="409">
        <v>4</v>
      </c>
      <c r="F40" s="180">
        <f>I40+J20+K20</f>
        <v>429</v>
      </c>
      <c r="G40" s="409">
        <v>70</v>
      </c>
      <c r="H40" s="532">
        <f>C40*E40*G40</f>
        <v>1400</v>
      </c>
      <c r="I40" s="196">
        <f>IF(G40&lt;70, C40*E40*16.5*1, C40*E40*16.5*1.3)</f>
        <v>429</v>
      </c>
      <c r="J40" s="197"/>
      <c r="K40" s="197"/>
      <c r="L40" s="197"/>
      <c r="M40" s="197"/>
      <c r="N40" s="197"/>
      <c r="O40" s="197"/>
      <c r="P40" s="197"/>
      <c r="Q40" s="180"/>
    </row>
    <row r="41" spans="1:17" s="50" customFormat="1" ht="25" customHeight="1">
      <c r="A41" s="407"/>
      <c r="B41" s="408" t="s">
        <v>265</v>
      </c>
      <c r="C41" s="409">
        <v>2</v>
      </c>
      <c r="D41" s="409">
        <v>1</v>
      </c>
      <c r="E41" s="409">
        <v>1</v>
      </c>
      <c r="F41" s="180">
        <f>I41+J55+K55</f>
        <v>33</v>
      </c>
      <c r="G41" s="409">
        <v>50</v>
      </c>
      <c r="H41" s="532">
        <f>C41*E41*G41</f>
        <v>100</v>
      </c>
      <c r="I41" s="196">
        <f>IF(G41&lt;70, C41*E41*16.5*1, C41*E41*16.5*1.3)</f>
        <v>33</v>
      </c>
      <c r="J41" s="363"/>
      <c r="K41" s="363"/>
      <c r="L41" s="363"/>
      <c r="M41" s="363"/>
      <c r="N41" s="363"/>
      <c r="O41" s="363"/>
      <c r="P41" s="363"/>
      <c r="Q41" s="414"/>
    </row>
    <row r="42" spans="1:17" s="50" customFormat="1" ht="25" customHeight="1">
      <c r="A42" s="407"/>
      <c r="B42" s="408" t="s">
        <v>266</v>
      </c>
      <c r="C42" s="409">
        <v>2</v>
      </c>
      <c r="D42" s="409">
        <v>1</v>
      </c>
      <c r="E42" s="409">
        <v>1</v>
      </c>
      <c r="F42" s="180">
        <f>I42+J56+K56</f>
        <v>33</v>
      </c>
      <c r="G42" s="409">
        <v>50</v>
      </c>
      <c r="H42" s="532">
        <f>C42*E42*G42</f>
        <v>100</v>
      </c>
      <c r="I42" s="196">
        <f>IF(G42&lt;70, C42*E42*16.5*1, C42*E42*16.5*1.3)</f>
        <v>33</v>
      </c>
      <c r="J42" s="363"/>
      <c r="K42" s="363"/>
      <c r="L42" s="363"/>
      <c r="M42" s="363"/>
      <c r="N42" s="363"/>
      <c r="O42" s="363"/>
      <c r="P42" s="363"/>
      <c r="Q42" s="414"/>
    </row>
    <row r="43" spans="1:17" s="50" customFormat="1" ht="25" customHeight="1">
      <c r="A43" s="407" t="s">
        <v>390</v>
      </c>
      <c r="B43" s="408" t="s">
        <v>626</v>
      </c>
      <c r="C43" s="409">
        <v>5</v>
      </c>
      <c r="D43" s="409">
        <v>1.4</v>
      </c>
      <c r="E43" s="409">
        <v>6</v>
      </c>
      <c r="F43" s="180">
        <f>I43+J43+K43</f>
        <v>495</v>
      </c>
      <c r="G43" s="409">
        <v>20</v>
      </c>
      <c r="H43" s="532">
        <f>C43*E43*G43</f>
        <v>600</v>
      </c>
      <c r="I43" s="196">
        <f>IF(G43&lt;70, C43*E43*16.5*1, C43*E43*16.5*1.3)</f>
        <v>495</v>
      </c>
      <c r="J43" s="197"/>
      <c r="K43" s="197"/>
      <c r="L43" s="197"/>
      <c r="M43" s="197"/>
      <c r="N43" s="197"/>
      <c r="O43" s="197"/>
      <c r="P43" s="197"/>
      <c r="Q43" s="180"/>
    </row>
    <row r="44" spans="1:17" s="50" customFormat="1" ht="25" customHeight="1">
      <c r="A44" s="407"/>
      <c r="B44" s="408" t="s">
        <v>251</v>
      </c>
      <c r="C44" s="409">
        <v>2</v>
      </c>
      <c r="D44" s="409">
        <v>1</v>
      </c>
      <c r="E44" s="409">
        <v>1</v>
      </c>
      <c r="F44" s="180">
        <f>I44+J30+K30</f>
        <v>33</v>
      </c>
      <c r="G44" s="409">
        <v>40</v>
      </c>
      <c r="H44" s="532">
        <f>C44*E44*G44</f>
        <v>80</v>
      </c>
      <c r="I44" s="196">
        <f>IF(G44&lt;70, C44*E44*16.5*1, C44*E44*16.5*1.3)</f>
        <v>33</v>
      </c>
      <c r="J44" s="363"/>
      <c r="K44" s="363"/>
      <c r="L44" s="363"/>
      <c r="M44" s="363"/>
      <c r="N44" s="363"/>
      <c r="O44" s="363"/>
      <c r="P44" s="363"/>
      <c r="Q44" s="414"/>
    </row>
    <row r="45" spans="1:17" s="50" customFormat="1" ht="25" customHeight="1">
      <c r="A45" s="407"/>
      <c r="B45" s="538" t="s">
        <v>700</v>
      </c>
      <c r="C45" s="409"/>
      <c r="D45" s="409"/>
      <c r="E45" s="409"/>
      <c r="F45" s="414"/>
      <c r="G45" s="409"/>
      <c r="H45" s="409"/>
      <c r="I45" s="412"/>
      <c r="J45" s="363"/>
      <c r="K45" s="363"/>
      <c r="L45" s="363"/>
      <c r="M45" s="363"/>
      <c r="N45" s="363"/>
      <c r="O45" s="363"/>
      <c r="P45" s="363"/>
      <c r="Q45" s="414"/>
    </row>
    <row r="46" spans="1:17" s="50" customFormat="1" ht="25" customHeight="1">
      <c r="A46" s="407" t="s">
        <v>392</v>
      </c>
      <c r="B46" s="408" t="s">
        <v>627</v>
      </c>
      <c r="C46" s="409">
        <v>2</v>
      </c>
      <c r="D46" s="409">
        <v>1</v>
      </c>
      <c r="E46" s="409">
        <v>2</v>
      </c>
      <c r="F46" s="180">
        <f>I46+J46+K46</f>
        <v>66</v>
      </c>
      <c r="G46" s="409">
        <v>65</v>
      </c>
      <c r="H46" s="532">
        <f t="shared" ref="H46:H51" si="3">C46*E46*G46</f>
        <v>260</v>
      </c>
      <c r="I46" s="196">
        <f t="shared" ref="I46:I51" si="4">IF(G46&lt;70, C46*E46*16.5*1, C46*E46*16.5*1.3)</f>
        <v>66</v>
      </c>
      <c r="J46" s="197"/>
      <c r="K46" s="197"/>
      <c r="L46" s="197"/>
      <c r="M46" s="197"/>
      <c r="N46" s="197"/>
      <c r="O46" s="197"/>
      <c r="P46" s="197"/>
      <c r="Q46" s="180"/>
    </row>
    <row r="47" spans="1:17" s="50" customFormat="1" ht="25" customHeight="1">
      <c r="A47" s="407" t="s">
        <v>393</v>
      </c>
      <c r="B47" s="408" t="s">
        <v>626</v>
      </c>
      <c r="C47" s="409">
        <v>2</v>
      </c>
      <c r="D47" s="409">
        <v>1.4</v>
      </c>
      <c r="E47" s="409">
        <v>6</v>
      </c>
      <c r="F47" s="180">
        <f>I47+J47+K47</f>
        <v>198</v>
      </c>
      <c r="G47" s="409">
        <v>20</v>
      </c>
      <c r="H47" s="532">
        <f t="shared" si="3"/>
        <v>240</v>
      </c>
      <c r="I47" s="196">
        <f t="shared" si="4"/>
        <v>198</v>
      </c>
      <c r="J47" s="197"/>
      <c r="K47" s="197"/>
      <c r="L47" s="197"/>
      <c r="M47" s="197"/>
      <c r="N47" s="197"/>
      <c r="O47" s="197"/>
      <c r="P47" s="197"/>
      <c r="Q47" s="180"/>
    </row>
    <row r="48" spans="1:17" s="50" customFormat="1" ht="25" customHeight="1">
      <c r="A48" s="407" t="s">
        <v>394</v>
      </c>
      <c r="B48" s="414" t="s">
        <v>260</v>
      </c>
      <c r="C48" s="415">
        <v>4</v>
      </c>
      <c r="D48" s="409">
        <v>1.08</v>
      </c>
      <c r="E48" s="416">
        <v>2</v>
      </c>
      <c r="F48" s="180">
        <f>I48+J49+K49</f>
        <v>171.6</v>
      </c>
      <c r="G48" s="416">
        <v>70</v>
      </c>
      <c r="H48" s="532">
        <f t="shared" si="3"/>
        <v>560</v>
      </c>
      <c r="I48" s="196">
        <f t="shared" si="4"/>
        <v>171.6</v>
      </c>
      <c r="J48" s="197"/>
      <c r="K48" s="197"/>
      <c r="L48" s="197"/>
      <c r="M48" s="197"/>
      <c r="N48" s="197"/>
      <c r="O48" s="197"/>
      <c r="P48" s="197"/>
      <c r="Q48" s="180"/>
    </row>
    <row r="49" spans="1:17" s="50" customFormat="1" ht="25" customHeight="1">
      <c r="A49" s="407" t="s">
        <v>395</v>
      </c>
      <c r="B49" s="417" t="s">
        <v>630</v>
      </c>
      <c r="C49" s="409">
        <v>3</v>
      </c>
      <c r="D49" s="409">
        <v>1</v>
      </c>
      <c r="E49" s="409">
        <v>2</v>
      </c>
      <c r="F49" s="180">
        <f>I49+J50+K50</f>
        <v>128.70000000000002</v>
      </c>
      <c r="G49" s="409">
        <v>80</v>
      </c>
      <c r="H49" s="532">
        <f t="shared" si="3"/>
        <v>480</v>
      </c>
      <c r="I49" s="196">
        <f t="shared" si="4"/>
        <v>128.70000000000002</v>
      </c>
      <c r="J49" s="197"/>
      <c r="K49" s="197"/>
      <c r="L49" s="197"/>
      <c r="M49" s="197"/>
      <c r="N49" s="197"/>
      <c r="O49" s="197"/>
      <c r="P49" s="197"/>
      <c r="Q49" s="180"/>
    </row>
    <row r="50" spans="1:17" s="50" customFormat="1" ht="25" customHeight="1">
      <c r="A50" s="407" t="s">
        <v>396</v>
      </c>
      <c r="B50" s="408" t="s">
        <v>631</v>
      </c>
      <c r="C50" s="409">
        <v>3</v>
      </c>
      <c r="D50" s="409">
        <v>1</v>
      </c>
      <c r="E50" s="409">
        <v>2</v>
      </c>
      <c r="F50" s="180">
        <f>I50+J51+K51</f>
        <v>128.70000000000002</v>
      </c>
      <c r="G50" s="409">
        <v>70</v>
      </c>
      <c r="H50" s="532">
        <f t="shared" si="3"/>
        <v>420</v>
      </c>
      <c r="I50" s="196">
        <f t="shared" si="4"/>
        <v>128.70000000000002</v>
      </c>
      <c r="J50" s="197"/>
      <c r="K50" s="197"/>
      <c r="L50" s="197"/>
      <c r="M50" s="197"/>
      <c r="N50" s="197"/>
      <c r="O50" s="197"/>
      <c r="P50" s="197"/>
      <c r="Q50" s="180"/>
    </row>
    <row r="51" spans="1:17" s="50" customFormat="1" ht="25" customHeight="1">
      <c r="A51" s="407" t="s">
        <v>397</v>
      </c>
      <c r="B51" s="408" t="s">
        <v>262</v>
      </c>
      <c r="C51" s="409">
        <v>3</v>
      </c>
      <c r="D51" s="409">
        <v>1</v>
      </c>
      <c r="E51" s="409">
        <v>1</v>
      </c>
      <c r="F51" s="180">
        <f>I51+J52+K52</f>
        <v>49.5</v>
      </c>
      <c r="G51" s="409">
        <v>21</v>
      </c>
      <c r="H51" s="532">
        <f t="shared" si="3"/>
        <v>63</v>
      </c>
      <c r="I51" s="196">
        <f t="shared" si="4"/>
        <v>49.5</v>
      </c>
      <c r="J51" s="197"/>
      <c r="K51" s="197"/>
      <c r="L51" s="197"/>
      <c r="M51" s="197"/>
      <c r="N51" s="197"/>
      <c r="O51" s="197"/>
      <c r="P51" s="197"/>
      <c r="Q51" s="180"/>
    </row>
    <row r="52" spans="1:17" s="50" customFormat="1" ht="25" customHeight="1">
      <c r="A52" s="407"/>
      <c r="B52" s="538" t="s">
        <v>701</v>
      </c>
      <c r="C52" s="409"/>
      <c r="D52" s="409"/>
      <c r="E52" s="409"/>
      <c r="F52" s="414"/>
      <c r="G52" s="409"/>
      <c r="H52" s="409"/>
      <c r="I52" s="412"/>
      <c r="J52" s="363"/>
      <c r="K52" s="363"/>
      <c r="L52" s="363"/>
      <c r="M52" s="363"/>
      <c r="N52" s="363"/>
      <c r="O52" s="363"/>
      <c r="P52" s="363"/>
      <c r="Q52" s="414"/>
    </row>
    <row r="53" spans="1:17" s="50" customFormat="1" ht="25" customHeight="1">
      <c r="A53" s="407" t="s">
        <v>401</v>
      </c>
      <c r="B53" s="408" t="s">
        <v>619</v>
      </c>
      <c r="C53" s="409">
        <v>1</v>
      </c>
      <c r="D53" s="409">
        <v>1.4</v>
      </c>
      <c r="E53" s="409">
        <v>14</v>
      </c>
      <c r="F53" s="180">
        <f>I53+J14+K14</f>
        <v>231</v>
      </c>
      <c r="G53" s="409">
        <v>20</v>
      </c>
      <c r="H53" s="532">
        <f>C53*E53*G53</f>
        <v>280</v>
      </c>
      <c r="I53" s="196">
        <f>IF(G53&lt;70, C53*E53*16.5*1, C53*E53*16.5*1.3)</f>
        <v>231</v>
      </c>
      <c r="J53" s="197"/>
      <c r="K53" s="197"/>
      <c r="L53" s="197"/>
      <c r="M53" s="197"/>
      <c r="N53" s="197"/>
      <c r="O53" s="197"/>
      <c r="P53" s="197"/>
      <c r="Q53" s="180"/>
    </row>
    <row r="54" spans="1:17" s="50" customFormat="1" ht="25" customHeight="1">
      <c r="A54" s="407" t="s">
        <v>402</v>
      </c>
      <c r="B54" s="408" t="s">
        <v>258</v>
      </c>
      <c r="C54" s="409">
        <v>2</v>
      </c>
      <c r="D54" s="409">
        <v>1</v>
      </c>
      <c r="E54" s="409">
        <v>4</v>
      </c>
      <c r="F54" s="180">
        <f>I54+J15+K15</f>
        <v>132</v>
      </c>
      <c r="G54" s="409">
        <v>40</v>
      </c>
      <c r="H54" s="532">
        <f>C54*E54*G54</f>
        <v>320</v>
      </c>
      <c r="I54" s="196">
        <f>IF(G54&lt;70, C54*E54*16.5*1, C54*E54*16.5*1.3)</f>
        <v>132</v>
      </c>
      <c r="J54" s="197"/>
      <c r="K54" s="197"/>
      <c r="L54" s="197"/>
      <c r="M54" s="197"/>
      <c r="N54" s="197"/>
      <c r="O54" s="197"/>
      <c r="P54" s="197"/>
      <c r="Q54" s="180"/>
    </row>
    <row r="55" spans="1:17" s="50" customFormat="1" ht="25" customHeight="1">
      <c r="A55" s="407" t="s">
        <v>403</v>
      </c>
      <c r="B55" s="50" t="s">
        <v>702</v>
      </c>
      <c r="F55" s="180">
        <f>I55+J16+K16</f>
        <v>0</v>
      </c>
      <c r="J55" s="197"/>
      <c r="K55" s="197"/>
      <c r="L55" s="197"/>
      <c r="M55" s="197"/>
      <c r="N55" s="197"/>
      <c r="O55" s="197"/>
      <c r="P55" s="197"/>
      <c r="Q55" s="180"/>
    </row>
    <row r="56" spans="1:17" s="50" customFormat="1" ht="25" customHeight="1">
      <c r="A56" s="407" t="s">
        <v>404</v>
      </c>
      <c r="B56" s="408" t="s">
        <v>632</v>
      </c>
      <c r="C56" s="409">
        <v>4</v>
      </c>
      <c r="D56" s="409">
        <v>1</v>
      </c>
      <c r="E56" s="409">
        <v>5</v>
      </c>
      <c r="F56" s="180">
        <f>I56+J17+K17</f>
        <v>429</v>
      </c>
      <c r="G56" s="409">
        <v>70</v>
      </c>
      <c r="H56" s="532">
        <f>C56*E56*G56</f>
        <v>1400</v>
      </c>
      <c r="I56" s="196">
        <f>IF(G56&lt;70, C56*E56*16.5*1, C56*E56*16.5*1.3)</f>
        <v>429</v>
      </c>
      <c r="J56" s="197"/>
      <c r="K56" s="197"/>
      <c r="L56" s="197"/>
      <c r="M56" s="197"/>
      <c r="N56" s="197"/>
      <c r="O56" s="197"/>
      <c r="P56" s="197"/>
      <c r="Q56" s="180"/>
    </row>
    <row r="57" spans="1:17" s="50" customFormat="1" ht="25" customHeight="1">
      <c r="A57" s="407" t="s">
        <v>405</v>
      </c>
      <c r="B57" s="420" t="s">
        <v>259</v>
      </c>
      <c r="C57" s="419">
        <v>4</v>
      </c>
      <c r="D57" s="409">
        <v>1</v>
      </c>
      <c r="E57" s="409">
        <v>4</v>
      </c>
      <c r="F57" s="180">
        <f>I57+J18+K18</f>
        <v>343.2</v>
      </c>
      <c r="G57" s="409">
        <v>70</v>
      </c>
      <c r="H57" s="532">
        <f>C57*E57*G57</f>
        <v>1120</v>
      </c>
      <c r="I57" s="196">
        <f>IF(G57&lt;70, C57*E57*16.5*1, C57*E57*16.5*1.3)</f>
        <v>343.2</v>
      </c>
      <c r="J57" s="197"/>
      <c r="K57" s="197"/>
      <c r="L57" s="197"/>
      <c r="M57" s="197"/>
      <c r="N57" s="197"/>
      <c r="O57" s="197"/>
      <c r="P57" s="197"/>
      <c r="Q57" s="180"/>
    </row>
    <row r="58" spans="1:17" s="50" customFormat="1" ht="25" customHeight="1">
      <c r="A58" s="407" t="s">
        <v>634</v>
      </c>
      <c r="B58" s="418" t="s">
        <v>635</v>
      </c>
      <c r="C58" s="419">
        <v>3</v>
      </c>
      <c r="D58" s="409">
        <v>1</v>
      </c>
      <c r="E58" s="409">
        <v>4</v>
      </c>
      <c r="F58" s="180">
        <f>I58+J58+K58</f>
        <v>257.40000000000003</v>
      </c>
      <c r="G58" s="409">
        <v>70</v>
      </c>
      <c r="H58" s="532">
        <f>C58*E58*G58</f>
        <v>840</v>
      </c>
      <c r="I58" s="196">
        <f>IF(G58&lt;70, C58*E58*16.5*1, C58*E58*16.5*1.3)</f>
        <v>257.40000000000003</v>
      </c>
      <c r="J58" s="197"/>
      <c r="K58" s="197"/>
      <c r="L58" s="197"/>
      <c r="M58" s="197"/>
      <c r="N58" s="197"/>
      <c r="O58" s="197"/>
      <c r="P58" s="197"/>
      <c r="Q58" s="180"/>
    </row>
    <row r="59" spans="1:17" s="50" customFormat="1" ht="25" customHeight="1">
      <c r="A59" s="407" t="s">
        <v>643</v>
      </c>
      <c r="B59" s="423" t="s">
        <v>408</v>
      </c>
      <c r="C59" s="424">
        <v>1</v>
      </c>
      <c r="D59" s="424">
        <v>1.4</v>
      </c>
      <c r="E59" s="424">
        <v>10</v>
      </c>
      <c r="F59" s="180">
        <f>I59+J59+K59</f>
        <v>165</v>
      </c>
      <c r="G59" s="424">
        <v>40</v>
      </c>
      <c r="H59" s="532">
        <f>C59*E59*G59</f>
        <v>400</v>
      </c>
      <c r="I59" s="196">
        <f>IF(G59&lt;70, C59*E59*16.5*1, C59*E59*16.5*1.3)</f>
        <v>165</v>
      </c>
      <c r="J59" s="197"/>
      <c r="K59" s="197"/>
      <c r="L59" s="197"/>
      <c r="M59" s="197"/>
      <c r="N59" s="197"/>
      <c r="O59" s="197"/>
      <c r="P59" s="197"/>
      <c r="Q59" s="408"/>
    </row>
    <row r="60" spans="1:17" s="50" customFormat="1" ht="25" customHeight="1">
      <c r="A60" s="425" t="s">
        <v>146</v>
      </c>
      <c r="B60" s="426" t="s">
        <v>149</v>
      </c>
      <c r="C60" s="409">
        <v>0</v>
      </c>
      <c r="D60" s="409">
        <v>0</v>
      </c>
      <c r="E60" s="409">
        <v>0</v>
      </c>
      <c r="F60" s="532">
        <v>0</v>
      </c>
      <c r="G60" s="409">
        <v>0</v>
      </c>
      <c r="H60" s="532">
        <v>0</v>
      </c>
      <c r="I60" s="532">
        <v>0</v>
      </c>
      <c r="J60" s="197"/>
      <c r="K60" s="197"/>
      <c r="L60" s="197"/>
      <c r="M60" s="197"/>
      <c r="N60" s="197"/>
      <c r="O60" s="197"/>
      <c r="P60" s="197"/>
      <c r="Q60" s="408"/>
    </row>
    <row r="61" spans="1:17" s="50" customFormat="1" ht="25" customHeight="1">
      <c r="A61" s="427" t="s">
        <v>230</v>
      </c>
      <c r="B61" s="407" t="s">
        <v>154</v>
      </c>
      <c r="C61" s="409">
        <v>4</v>
      </c>
      <c r="D61" s="409">
        <v>1.4</v>
      </c>
      <c r="E61" s="409">
        <v>6</v>
      </c>
      <c r="F61" s="180">
        <f>I61+J61+K61</f>
        <v>240</v>
      </c>
      <c r="G61" s="409">
        <v>20</v>
      </c>
      <c r="H61" s="532">
        <f>C61*E61*G61</f>
        <v>480</v>
      </c>
      <c r="I61" s="196">
        <f>E61*G61*2</f>
        <v>240</v>
      </c>
      <c r="J61" s="197"/>
      <c r="K61" s="197"/>
      <c r="L61" s="197"/>
      <c r="M61" s="197"/>
      <c r="N61" s="197"/>
      <c r="O61" s="197"/>
      <c r="P61" s="197"/>
      <c r="Q61" s="408" t="s">
        <v>683</v>
      </c>
    </row>
    <row r="62" spans="1:17" s="50" customFormat="1" ht="25" customHeight="1">
      <c r="A62" s="427" t="s">
        <v>231</v>
      </c>
      <c r="B62" s="407" t="s">
        <v>155</v>
      </c>
      <c r="C62" s="409">
        <v>0</v>
      </c>
      <c r="D62" s="409"/>
      <c r="E62" s="409">
        <v>0</v>
      </c>
      <c r="F62" s="532">
        <v>0</v>
      </c>
      <c r="G62" s="409">
        <v>0</v>
      </c>
      <c r="H62" s="532">
        <v>0</v>
      </c>
      <c r="I62" s="197">
        <v>0</v>
      </c>
      <c r="J62" s="197"/>
      <c r="K62" s="197"/>
      <c r="L62" s="197"/>
      <c r="M62" s="197"/>
      <c r="N62" s="197"/>
      <c r="O62" s="197"/>
      <c r="P62" s="197"/>
      <c r="Q62" s="180"/>
    </row>
    <row r="63" spans="1:17" s="50" customFormat="1" ht="25" customHeight="1">
      <c r="A63" s="428"/>
      <c r="B63" s="429" t="s">
        <v>350</v>
      </c>
      <c r="C63" s="430">
        <f t="shared" ref="C63:K63" si="5">SUM(C13:C62)</f>
        <v>107</v>
      </c>
      <c r="D63" s="430">
        <f t="shared" si="5"/>
        <v>43.659999999999989</v>
      </c>
      <c r="E63" s="430">
        <f t="shared" si="5"/>
        <v>155</v>
      </c>
      <c r="F63" s="430">
        <f t="shared" si="5"/>
        <v>7123.7999999999993</v>
      </c>
      <c r="G63" s="430">
        <f t="shared" si="5"/>
        <v>2106</v>
      </c>
      <c r="H63" s="430">
        <f t="shared" si="5"/>
        <v>18583</v>
      </c>
      <c r="I63" s="430">
        <f t="shared" si="5"/>
        <v>7123.7999999999993</v>
      </c>
      <c r="J63" s="430">
        <f t="shared" si="5"/>
        <v>0</v>
      </c>
      <c r="K63" s="430">
        <f t="shared" si="5"/>
        <v>0</v>
      </c>
      <c r="L63" s="431"/>
      <c r="M63" s="431"/>
      <c r="N63" s="431"/>
      <c r="O63" s="431"/>
      <c r="P63" s="431"/>
      <c r="Q63" s="432"/>
    </row>
    <row r="64" spans="1:17" s="50" customFormat="1" ht="25" customHeight="1">
      <c r="A64" s="433">
        <v>2</v>
      </c>
      <c r="B64" s="433" t="s">
        <v>162</v>
      </c>
      <c r="C64" s="409"/>
      <c r="D64" s="409"/>
      <c r="E64" s="409"/>
      <c r="F64" s="180"/>
      <c r="G64" s="409"/>
      <c r="H64" s="532"/>
      <c r="I64" s="196"/>
      <c r="J64" s="197"/>
      <c r="K64" s="197"/>
      <c r="L64" s="197"/>
      <c r="M64" s="197"/>
      <c r="N64" s="197"/>
      <c r="O64" s="197"/>
      <c r="P64" s="197"/>
      <c r="Q64" s="180"/>
    </row>
    <row r="65" spans="1:17" s="50" customFormat="1" ht="25" customHeight="1">
      <c r="A65" s="434" t="s">
        <v>145</v>
      </c>
      <c r="B65" s="435" t="s">
        <v>163</v>
      </c>
      <c r="C65" s="409"/>
      <c r="D65" s="409"/>
      <c r="E65" s="409"/>
      <c r="F65" s="180">
        <f t="shared" ref="F65:F71" si="6">I65+J65+K65</f>
        <v>0</v>
      </c>
      <c r="G65" s="409"/>
      <c r="H65" s="532">
        <f>C65*D65*E65*G65</f>
        <v>0</v>
      </c>
      <c r="I65" s="196">
        <f>IF(G65&lt;70, C65*E65*16.5*1.5, C65*E65*16.5*1.5)</f>
        <v>0</v>
      </c>
      <c r="J65" s="197"/>
      <c r="K65" s="197"/>
      <c r="L65" s="197"/>
      <c r="M65" s="197"/>
      <c r="N65" s="197"/>
      <c r="O65" s="197"/>
      <c r="P65" s="197"/>
      <c r="Q65" s="180"/>
    </row>
    <row r="66" spans="1:17" s="50" customFormat="1" ht="25" customHeight="1">
      <c r="A66" s="407" t="s">
        <v>224</v>
      </c>
      <c r="B66" s="436" t="s">
        <v>267</v>
      </c>
      <c r="C66" s="409">
        <v>3</v>
      </c>
      <c r="D66" s="409">
        <v>1</v>
      </c>
      <c r="E66" s="409">
        <v>1</v>
      </c>
      <c r="F66" s="180">
        <f t="shared" si="6"/>
        <v>74.25</v>
      </c>
      <c r="G66" s="409">
        <v>10</v>
      </c>
      <c r="H66" s="532">
        <f t="shared" ref="H66:H71" si="7">C66*E66*G66</f>
        <v>30</v>
      </c>
      <c r="I66" s="196">
        <f t="shared" ref="I66:I71" si="8">C66*E66*16.5*1.5</f>
        <v>74.25</v>
      </c>
      <c r="J66" s="197"/>
      <c r="K66" s="197"/>
      <c r="L66" s="197"/>
      <c r="M66" s="197"/>
      <c r="N66" s="197"/>
      <c r="O66" s="197"/>
      <c r="P66" s="197"/>
      <c r="Q66" s="180"/>
    </row>
    <row r="67" spans="1:17" s="50" customFormat="1" ht="25" customHeight="1">
      <c r="A67" s="407" t="s">
        <v>225</v>
      </c>
      <c r="B67" s="436" t="s">
        <v>268</v>
      </c>
      <c r="C67" s="409">
        <v>3</v>
      </c>
      <c r="D67" s="409">
        <v>1</v>
      </c>
      <c r="E67" s="409">
        <v>1</v>
      </c>
      <c r="F67" s="180">
        <f t="shared" si="6"/>
        <v>74.25</v>
      </c>
      <c r="G67" s="409">
        <v>10</v>
      </c>
      <c r="H67" s="532">
        <f t="shared" si="7"/>
        <v>30</v>
      </c>
      <c r="I67" s="196">
        <f t="shared" si="8"/>
        <v>74.25</v>
      </c>
      <c r="J67" s="197"/>
      <c r="K67" s="197"/>
      <c r="L67" s="197"/>
      <c r="M67" s="197"/>
      <c r="N67" s="197"/>
      <c r="O67" s="197"/>
      <c r="P67" s="197"/>
      <c r="Q67" s="180"/>
    </row>
    <row r="68" spans="1:17" s="50" customFormat="1" ht="25" customHeight="1">
      <c r="A68" s="407" t="s">
        <v>226</v>
      </c>
      <c r="B68" s="436" t="s">
        <v>269</v>
      </c>
      <c r="C68" s="409">
        <v>3</v>
      </c>
      <c r="D68" s="409">
        <v>1</v>
      </c>
      <c r="E68" s="409">
        <v>1</v>
      </c>
      <c r="F68" s="180">
        <f t="shared" si="6"/>
        <v>74.25</v>
      </c>
      <c r="G68" s="409">
        <v>10</v>
      </c>
      <c r="H68" s="532">
        <f t="shared" si="7"/>
        <v>30</v>
      </c>
      <c r="I68" s="196">
        <f t="shared" si="8"/>
        <v>74.25</v>
      </c>
      <c r="J68" s="197"/>
      <c r="K68" s="197"/>
      <c r="L68" s="197"/>
      <c r="M68" s="197"/>
      <c r="N68" s="197"/>
      <c r="O68" s="197"/>
      <c r="P68" s="197"/>
      <c r="Q68" s="180"/>
    </row>
    <row r="69" spans="1:17" s="50" customFormat="1" ht="25" customHeight="1">
      <c r="A69" s="407" t="s">
        <v>227</v>
      </c>
      <c r="B69" s="436" t="s">
        <v>270</v>
      </c>
      <c r="C69" s="409">
        <v>3</v>
      </c>
      <c r="D69" s="409">
        <v>1</v>
      </c>
      <c r="E69" s="409">
        <v>1</v>
      </c>
      <c r="F69" s="180">
        <f t="shared" si="6"/>
        <v>74.25</v>
      </c>
      <c r="G69" s="409">
        <v>10</v>
      </c>
      <c r="H69" s="532">
        <f t="shared" si="7"/>
        <v>30</v>
      </c>
      <c r="I69" s="196">
        <f t="shared" si="8"/>
        <v>74.25</v>
      </c>
      <c r="J69" s="197"/>
      <c r="K69" s="197"/>
      <c r="L69" s="197"/>
      <c r="M69" s="197"/>
      <c r="N69" s="197"/>
      <c r="O69" s="197"/>
      <c r="P69" s="197"/>
      <c r="Q69" s="180"/>
    </row>
    <row r="70" spans="1:17" s="50" customFormat="1" ht="25" customHeight="1">
      <c r="A70" s="407" t="s">
        <v>228</v>
      </c>
      <c r="B70" s="437" t="s">
        <v>271</v>
      </c>
      <c r="C70" s="409">
        <v>3</v>
      </c>
      <c r="D70" s="409">
        <v>1</v>
      </c>
      <c r="E70" s="409">
        <v>1</v>
      </c>
      <c r="F70" s="180">
        <f t="shared" si="6"/>
        <v>74.25</v>
      </c>
      <c r="G70" s="409">
        <v>10</v>
      </c>
      <c r="H70" s="532">
        <f t="shared" si="7"/>
        <v>30</v>
      </c>
      <c r="I70" s="196">
        <f t="shared" si="8"/>
        <v>74.25</v>
      </c>
      <c r="J70" s="197"/>
      <c r="K70" s="197"/>
      <c r="L70" s="197"/>
      <c r="M70" s="197"/>
      <c r="N70" s="197"/>
      <c r="O70" s="197"/>
      <c r="P70" s="197"/>
      <c r="Q70" s="180"/>
    </row>
    <row r="71" spans="1:17" s="50" customFormat="1" ht="25" customHeight="1">
      <c r="A71" s="407" t="s">
        <v>229</v>
      </c>
      <c r="B71" s="436" t="s">
        <v>522</v>
      </c>
      <c r="C71" s="409">
        <v>3</v>
      </c>
      <c r="D71" s="409">
        <v>1</v>
      </c>
      <c r="E71" s="409">
        <v>1</v>
      </c>
      <c r="F71" s="180">
        <f t="shared" si="6"/>
        <v>74.25</v>
      </c>
      <c r="G71" s="409">
        <v>15</v>
      </c>
      <c r="H71" s="532">
        <f t="shared" si="7"/>
        <v>45</v>
      </c>
      <c r="I71" s="196">
        <f t="shared" si="8"/>
        <v>74.25</v>
      </c>
      <c r="J71" s="197"/>
      <c r="K71" s="197"/>
      <c r="L71" s="197"/>
      <c r="M71" s="197"/>
      <c r="N71" s="197"/>
      <c r="O71" s="197"/>
      <c r="P71" s="197"/>
      <c r="Q71" s="180"/>
    </row>
    <row r="72" spans="1:17" s="50" customFormat="1" ht="25" customHeight="1">
      <c r="A72" s="438" t="s">
        <v>146</v>
      </c>
      <c r="B72" s="439" t="s">
        <v>465</v>
      </c>
      <c r="C72" s="260"/>
      <c r="D72" s="260"/>
      <c r="E72" s="260"/>
      <c r="F72" s="532"/>
      <c r="G72" s="260"/>
      <c r="H72" s="532"/>
      <c r="I72" s="197"/>
      <c r="J72" s="197"/>
      <c r="K72" s="197"/>
      <c r="L72" s="197"/>
      <c r="M72" s="197"/>
      <c r="N72" s="197"/>
      <c r="O72" s="197"/>
      <c r="P72" s="197"/>
      <c r="Q72" s="180"/>
    </row>
    <row r="73" spans="1:17" s="50" customFormat="1" ht="25" customHeight="1">
      <c r="A73" s="438"/>
      <c r="B73" s="440" t="s">
        <v>684</v>
      </c>
      <c r="C73" s="260">
        <v>15</v>
      </c>
      <c r="D73" s="260">
        <v>1</v>
      </c>
      <c r="E73" s="260">
        <v>1</v>
      </c>
      <c r="F73" s="180">
        <f t="shared" ref="F73:F102" si="9">I73+J73+K73</f>
        <v>280</v>
      </c>
      <c r="G73" s="260">
        <v>8</v>
      </c>
      <c r="H73" s="532">
        <f>C73*E73*G73</f>
        <v>120</v>
      </c>
      <c r="I73" s="196">
        <f>8*35</f>
        <v>280</v>
      </c>
      <c r="J73" s="197"/>
      <c r="K73" s="197"/>
      <c r="L73" s="197"/>
      <c r="M73" s="197"/>
      <c r="N73" s="197"/>
      <c r="O73" s="197"/>
      <c r="P73" s="197"/>
      <c r="Q73" s="180" t="s">
        <v>685</v>
      </c>
    </row>
    <row r="74" spans="1:17" s="50" customFormat="1" ht="25" customHeight="1">
      <c r="A74" s="441"/>
      <c r="B74" s="429" t="s">
        <v>350</v>
      </c>
      <c r="C74" s="430">
        <f t="shared" ref="C74:I74" si="10">SUM(C66:C73)</f>
        <v>33</v>
      </c>
      <c r="D74" s="430">
        <f t="shared" si="10"/>
        <v>7</v>
      </c>
      <c r="E74" s="430">
        <f t="shared" si="10"/>
        <v>7</v>
      </c>
      <c r="F74" s="376">
        <f t="shared" si="10"/>
        <v>725.5</v>
      </c>
      <c r="G74" s="376">
        <f t="shared" si="10"/>
        <v>73</v>
      </c>
      <c r="H74" s="376">
        <f t="shared" si="10"/>
        <v>315</v>
      </c>
      <c r="I74" s="376">
        <f t="shared" si="10"/>
        <v>725.5</v>
      </c>
      <c r="J74" s="431"/>
      <c r="K74" s="431"/>
      <c r="L74" s="431"/>
      <c r="M74" s="431"/>
      <c r="N74" s="431"/>
      <c r="O74" s="431"/>
      <c r="P74" s="431"/>
      <c r="Q74" s="432"/>
    </row>
    <row r="75" spans="1:17" s="50" customFormat="1" ht="25" customHeight="1">
      <c r="A75" s="433">
        <v>3</v>
      </c>
      <c r="B75" s="433" t="s">
        <v>164</v>
      </c>
      <c r="C75" s="409">
        <v>0</v>
      </c>
      <c r="D75" s="409">
        <v>0</v>
      </c>
      <c r="E75" s="409">
        <v>0</v>
      </c>
      <c r="F75" s="180">
        <f t="shared" si="9"/>
        <v>0</v>
      </c>
      <c r="G75" s="409">
        <v>0</v>
      </c>
      <c r="H75" s="532">
        <f>C75*D75*E75*G75</f>
        <v>0</v>
      </c>
      <c r="I75" s="196">
        <f t="shared" ref="I75:I102" si="11">IF(G75&lt;70, C75*E75*16.5*1, C75*E75*16.5*1.3)</f>
        <v>0</v>
      </c>
      <c r="J75" s="197"/>
      <c r="K75" s="197"/>
      <c r="L75" s="197"/>
      <c r="M75" s="197"/>
      <c r="N75" s="197"/>
      <c r="O75" s="197"/>
      <c r="P75" s="197"/>
      <c r="Q75" s="180"/>
    </row>
    <row r="76" spans="1:17" s="50" customFormat="1" ht="25" customHeight="1">
      <c r="A76" s="433" t="s">
        <v>7</v>
      </c>
      <c r="B76" s="433" t="s">
        <v>222</v>
      </c>
      <c r="C76" s="409"/>
      <c r="D76" s="409"/>
      <c r="E76" s="409"/>
      <c r="F76" s="180">
        <f t="shared" si="9"/>
        <v>0</v>
      </c>
      <c r="G76" s="409"/>
      <c r="H76" s="532">
        <f>C76*D76*E76*G76</f>
        <v>0</v>
      </c>
      <c r="I76" s="196">
        <f t="shared" si="11"/>
        <v>0</v>
      </c>
      <c r="J76" s="197"/>
      <c r="K76" s="197"/>
      <c r="L76" s="197"/>
      <c r="M76" s="197"/>
      <c r="N76" s="197"/>
      <c r="O76" s="197"/>
      <c r="P76" s="197"/>
      <c r="Q76" s="180"/>
    </row>
    <row r="77" spans="1:17" s="50" customFormat="1" ht="25" customHeight="1">
      <c r="A77" s="433">
        <v>1</v>
      </c>
      <c r="B77" s="435" t="s">
        <v>223</v>
      </c>
      <c r="C77" s="409"/>
      <c r="D77" s="409"/>
      <c r="E77" s="409"/>
      <c r="F77" s="180">
        <f t="shared" si="9"/>
        <v>0</v>
      </c>
      <c r="G77" s="409"/>
      <c r="H77" s="532">
        <f>C77*D77*E77*G77</f>
        <v>0</v>
      </c>
      <c r="I77" s="196">
        <f t="shared" si="11"/>
        <v>0</v>
      </c>
      <c r="J77" s="197"/>
      <c r="K77" s="197"/>
      <c r="L77" s="197"/>
      <c r="M77" s="197"/>
      <c r="N77" s="197"/>
      <c r="O77" s="197"/>
      <c r="P77" s="197"/>
      <c r="Q77" s="180"/>
    </row>
    <row r="78" spans="1:17" s="50" customFormat="1" ht="25" customHeight="1">
      <c r="A78" s="433" t="s">
        <v>145</v>
      </c>
      <c r="B78" s="435" t="s">
        <v>161</v>
      </c>
      <c r="C78" s="409"/>
      <c r="D78" s="409"/>
      <c r="E78" s="409"/>
      <c r="F78" s="180"/>
      <c r="G78" s="409"/>
      <c r="H78" s="532"/>
      <c r="I78" s="196"/>
      <c r="J78" s="197"/>
      <c r="K78" s="197"/>
      <c r="L78" s="197"/>
      <c r="M78" s="197"/>
      <c r="N78" s="197"/>
      <c r="O78" s="197"/>
      <c r="P78" s="197"/>
      <c r="Q78" s="180"/>
    </row>
    <row r="79" spans="1:17" s="50" customFormat="1" ht="25" customHeight="1">
      <c r="A79" s="433"/>
      <c r="B79" s="435" t="s">
        <v>645</v>
      </c>
      <c r="C79" s="409"/>
      <c r="D79" s="409"/>
      <c r="E79" s="409"/>
      <c r="F79" s="414"/>
      <c r="G79" s="409"/>
      <c r="H79" s="409"/>
      <c r="I79" s="412"/>
      <c r="J79" s="363"/>
      <c r="K79" s="363"/>
      <c r="L79" s="363"/>
      <c r="M79" s="363"/>
      <c r="N79" s="363"/>
      <c r="O79" s="363"/>
      <c r="P79" s="363"/>
      <c r="Q79" s="414"/>
    </row>
    <row r="80" spans="1:17" s="50" customFormat="1" ht="25" customHeight="1">
      <c r="A80" s="427" t="s">
        <v>224</v>
      </c>
      <c r="B80" s="437" t="s">
        <v>264</v>
      </c>
      <c r="C80" s="409">
        <v>3</v>
      </c>
      <c r="D80" s="409">
        <v>1</v>
      </c>
      <c r="E80" s="409">
        <v>3</v>
      </c>
      <c r="F80" s="180">
        <f t="shared" si="9"/>
        <v>148.5</v>
      </c>
      <c r="G80" s="409">
        <v>40</v>
      </c>
      <c r="H80" s="532">
        <f t="shared" ref="H80:H102" si="12">C80*E80*G80</f>
        <v>360</v>
      </c>
      <c r="I80" s="196">
        <f t="shared" si="11"/>
        <v>148.5</v>
      </c>
      <c r="J80" s="197"/>
      <c r="K80" s="197"/>
      <c r="L80" s="197"/>
      <c r="M80" s="197"/>
      <c r="N80" s="197"/>
      <c r="O80" s="197"/>
      <c r="P80" s="197"/>
      <c r="Q80" s="180"/>
    </row>
    <row r="81" spans="1:17" s="50" customFormat="1" ht="25" customHeight="1">
      <c r="A81" s="427"/>
      <c r="B81" s="539" t="s">
        <v>697</v>
      </c>
      <c r="C81" s="409"/>
      <c r="D81" s="409"/>
      <c r="E81" s="409"/>
      <c r="F81" s="414"/>
      <c r="G81" s="409"/>
      <c r="H81" s="409"/>
      <c r="I81" s="412"/>
      <c r="J81" s="363"/>
      <c r="K81" s="363"/>
      <c r="L81" s="363"/>
      <c r="M81" s="363"/>
      <c r="N81" s="363"/>
      <c r="O81" s="363"/>
      <c r="P81" s="363"/>
      <c r="Q81" s="414"/>
    </row>
    <row r="82" spans="1:17" s="50" customFormat="1" ht="25" customHeight="1">
      <c r="A82" s="427" t="s">
        <v>225</v>
      </c>
      <c r="B82" s="437" t="s">
        <v>272</v>
      </c>
      <c r="C82" s="409">
        <v>5</v>
      </c>
      <c r="D82" s="409">
        <v>1</v>
      </c>
      <c r="E82" s="409">
        <v>3</v>
      </c>
      <c r="F82" s="180">
        <f t="shared" si="9"/>
        <v>247.5</v>
      </c>
      <c r="G82" s="409">
        <v>40</v>
      </c>
      <c r="H82" s="532">
        <f t="shared" si="12"/>
        <v>600</v>
      </c>
      <c r="I82" s="196">
        <f t="shared" si="11"/>
        <v>247.5</v>
      </c>
      <c r="J82" s="197"/>
      <c r="K82" s="197"/>
      <c r="L82" s="197"/>
      <c r="M82" s="197"/>
      <c r="N82" s="197"/>
      <c r="O82" s="197"/>
      <c r="P82" s="197"/>
      <c r="Q82" s="180"/>
    </row>
    <row r="83" spans="1:17" s="50" customFormat="1" ht="25" customHeight="1">
      <c r="A83" s="443" t="s">
        <v>290</v>
      </c>
      <c r="B83" s="444" t="s">
        <v>261</v>
      </c>
      <c r="C83" s="445">
        <v>3</v>
      </c>
      <c r="D83" s="445">
        <v>1</v>
      </c>
      <c r="E83" s="445">
        <v>3</v>
      </c>
      <c r="F83" s="180">
        <f t="shared" si="9"/>
        <v>148.5</v>
      </c>
      <c r="G83" s="409">
        <v>40</v>
      </c>
      <c r="H83" s="532">
        <f>C83*E83*G83</f>
        <v>360</v>
      </c>
      <c r="I83" s="196">
        <f>IF(G83&lt;70, C83*E83*16.5*1, C83*E83*16.5*1.3)</f>
        <v>148.5</v>
      </c>
      <c r="J83" s="363"/>
      <c r="K83" s="363"/>
      <c r="L83" s="363"/>
      <c r="M83" s="363"/>
      <c r="N83" s="363"/>
      <c r="O83" s="363"/>
      <c r="P83" s="363"/>
      <c r="Q83" s="414"/>
    </row>
    <row r="84" spans="1:17" s="50" customFormat="1" ht="25" customHeight="1">
      <c r="A84" s="427"/>
      <c r="B84" s="539" t="s">
        <v>698</v>
      </c>
      <c r="C84" s="409"/>
      <c r="D84" s="409"/>
      <c r="E84" s="409"/>
      <c r="F84" s="414"/>
      <c r="G84" s="409"/>
      <c r="H84" s="409"/>
      <c r="I84" s="412"/>
      <c r="J84" s="363"/>
      <c r="K84" s="363"/>
      <c r="L84" s="363"/>
      <c r="M84" s="363"/>
      <c r="N84" s="363"/>
      <c r="O84" s="363"/>
      <c r="P84" s="363"/>
      <c r="Q84" s="414"/>
    </row>
    <row r="85" spans="1:17" s="50" customFormat="1" ht="25" customHeight="1">
      <c r="A85" s="427" t="s">
        <v>226</v>
      </c>
      <c r="B85" s="437" t="s">
        <v>273</v>
      </c>
      <c r="C85" s="409">
        <v>3</v>
      </c>
      <c r="D85" s="409">
        <v>1</v>
      </c>
      <c r="E85" s="409">
        <v>3</v>
      </c>
      <c r="F85" s="180">
        <f t="shared" si="9"/>
        <v>148.5</v>
      </c>
      <c r="G85" s="409">
        <v>40</v>
      </c>
      <c r="H85" s="532">
        <f t="shared" si="12"/>
        <v>360</v>
      </c>
      <c r="I85" s="196">
        <f t="shared" si="11"/>
        <v>148.5</v>
      </c>
      <c r="J85" s="197"/>
      <c r="K85" s="197"/>
      <c r="L85" s="197"/>
      <c r="M85" s="197"/>
      <c r="N85" s="197"/>
      <c r="O85" s="197"/>
      <c r="P85" s="197"/>
      <c r="Q85" s="180"/>
    </row>
    <row r="86" spans="1:17" s="50" customFormat="1" ht="25" customHeight="1">
      <c r="A86" s="427" t="s">
        <v>227</v>
      </c>
      <c r="B86" s="437" t="s">
        <v>274</v>
      </c>
      <c r="C86" s="409">
        <v>2</v>
      </c>
      <c r="D86" s="409">
        <v>1</v>
      </c>
      <c r="E86" s="409">
        <v>3</v>
      </c>
      <c r="F86" s="180">
        <f t="shared" si="9"/>
        <v>99</v>
      </c>
      <c r="G86" s="409">
        <v>40</v>
      </c>
      <c r="H86" s="532">
        <f t="shared" si="12"/>
        <v>240</v>
      </c>
      <c r="I86" s="196">
        <f t="shared" si="11"/>
        <v>99</v>
      </c>
      <c r="J86" s="197"/>
      <c r="K86" s="197"/>
      <c r="L86" s="197"/>
      <c r="M86" s="197"/>
      <c r="N86" s="197"/>
      <c r="O86" s="197"/>
      <c r="P86" s="197"/>
      <c r="Q86" s="180"/>
    </row>
    <row r="87" spans="1:17" s="50" customFormat="1" ht="25" customHeight="1">
      <c r="A87" s="427" t="s">
        <v>228</v>
      </c>
      <c r="B87" s="437" t="s">
        <v>275</v>
      </c>
      <c r="C87" s="409">
        <v>2</v>
      </c>
      <c r="D87" s="409">
        <v>1</v>
      </c>
      <c r="E87" s="409">
        <v>3</v>
      </c>
      <c r="F87" s="180">
        <f t="shared" si="9"/>
        <v>99</v>
      </c>
      <c r="G87" s="409">
        <v>40</v>
      </c>
      <c r="H87" s="532">
        <f t="shared" si="12"/>
        <v>240</v>
      </c>
      <c r="I87" s="196">
        <f t="shared" si="11"/>
        <v>99</v>
      </c>
      <c r="J87" s="197"/>
      <c r="K87" s="197"/>
      <c r="L87" s="197"/>
      <c r="M87" s="197"/>
      <c r="N87" s="197"/>
      <c r="O87" s="197"/>
      <c r="P87" s="197"/>
      <c r="Q87" s="180"/>
    </row>
    <row r="88" spans="1:17" s="50" customFormat="1" ht="25" customHeight="1">
      <c r="A88" s="427"/>
      <c r="B88" s="539" t="s">
        <v>702</v>
      </c>
      <c r="C88" s="409"/>
      <c r="D88" s="409"/>
      <c r="E88" s="409"/>
      <c r="F88" s="414"/>
      <c r="G88" s="409"/>
      <c r="H88" s="409"/>
      <c r="I88" s="412"/>
      <c r="J88" s="363"/>
      <c r="K88" s="363"/>
      <c r="L88" s="363"/>
      <c r="M88" s="363"/>
      <c r="N88" s="363"/>
      <c r="O88" s="363"/>
      <c r="P88" s="363"/>
      <c r="Q88" s="414"/>
    </row>
    <row r="89" spans="1:17" s="50" customFormat="1" ht="25" customHeight="1">
      <c r="A89" s="427" t="s">
        <v>229</v>
      </c>
      <c r="B89" s="437" t="s">
        <v>276</v>
      </c>
      <c r="C89" s="409">
        <v>5</v>
      </c>
      <c r="D89" s="409">
        <v>1</v>
      </c>
      <c r="E89" s="409">
        <v>3</v>
      </c>
      <c r="F89" s="180">
        <f t="shared" si="9"/>
        <v>247.5</v>
      </c>
      <c r="G89" s="409">
        <v>40</v>
      </c>
      <c r="H89" s="532">
        <f t="shared" si="12"/>
        <v>600</v>
      </c>
      <c r="I89" s="196">
        <f t="shared" si="11"/>
        <v>247.5</v>
      </c>
      <c r="J89" s="197"/>
      <c r="K89" s="197"/>
      <c r="L89" s="197"/>
      <c r="M89" s="197"/>
      <c r="N89" s="197"/>
      <c r="O89" s="197"/>
      <c r="P89" s="197"/>
      <c r="Q89" s="180"/>
    </row>
    <row r="90" spans="1:17" s="50" customFormat="1" ht="25" customHeight="1">
      <c r="A90" s="427"/>
      <c r="B90" s="539" t="s">
        <v>700</v>
      </c>
      <c r="C90" s="409"/>
      <c r="D90" s="409"/>
      <c r="E90" s="409"/>
      <c r="F90" s="414"/>
      <c r="G90" s="409"/>
      <c r="H90" s="409"/>
      <c r="I90" s="412"/>
      <c r="J90" s="363"/>
      <c r="K90" s="363"/>
      <c r="L90" s="363"/>
      <c r="M90" s="363"/>
      <c r="N90" s="363"/>
      <c r="O90" s="363"/>
      <c r="P90" s="363"/>
      <c r="Q90" s="414"/>
    </row>
    <row r="91" spans="1:17" s="50" customFormat="1" ht="25" customHeight="1">
      <c r="A91" s="427" t="s">
        <v>280</v>
      </c>
      <c r="B91" s="437" t="s">
        <v>277</v>
      </c>
      <c r="C91" s="409">
        <v>2</v>
      </c>
      <c r="D91" s="409">
        <v>1</v>
      </c>
      <c r="E91" s="409">
        <v>3</v>
      </c>
      <c r="F91" s="180">
        <f t="shared" si="9"/>
        <v>99</v>
      </c>
      <c r="G91" s="409">
        <v>40</v>
      </c>
      <c r="H91" s="532">
        <f t="shared" si="12"/>
        <v>240</v>
      </c>
      <c r="I91" s="196">
        <f t="shared" si="11"/>
        <v>99</v>
      </c>
      <c r="J91" s="197"/>
      <c r="K91" s="197"/>
      <c r="L91" s="197"/>
      <c r="M91" s="197"/>
      <c r="N91" s="197"/>
      <c r="O91" s="197"/>
      <c r="P91" s="197"/>
      <c r="Q91" s="180"/>
    </row>
    <row r="92" spans="1:17" s="50" customFormat="1" ht="25" customHeight="1">
      <c r="A92" s="427" t="s">
        <v>281</v>
      </c>
      <c r="B92" s="442" t="s">
        <v>254</v>
      </c>
      <c r="C92" s="409">
        <v>3</v>
      </c>
      <c r="D92" s="409">
        <v>1</v>
      </c>
      <c r="E92" s="409">
        <v>5</v>
      </c>
      <c r="F92" s="180">
        <f t="shared" si="9"/>
        <v>247.5</v>
      </c>
      <c r="G92" s="409">
        <v>40</v>
      </c>
      <c r="H92" s="532">
        <f t="shared" si="12"/>
        <v>600</v>
      </c>
      <c r="I92" s="196">
        <f t="shared" si="11"/>
        <v>247.5</v>
      </c>
      <c r="J92" s="197"/>
      <c r="K92" s="197"/>
      <c r="L92" s="197"/>
      <c r="M92" s="197"/>
      <c r="N92" s="197"/>
      <c r="O92" s="197"/>
      <c r="P92" s="197"/>
      <c r="Q92" s="180"/>
    </row>
    <row r="93" spans="1:17" s="50" customFormat="1" ht="25" customHeight="1">
      <c r="A93" s="427"/>
      <c r="B93" s="468" t="s">
        <v>703</v>
      </c>
      <c r="C93" s="409"/>
      <c r="D93" s="409"/>
      <c r="E93" s="409"/>
      <c r="F93" s="414"/>
      <c r="G93" s="409"/>
      <c r="H93" s="409"/>
      <c r="I93" s="412"/>
      <c r="J93" s="363"/>
      <c r="K93" s="363"/>
      <c r="L93" s="363"/>
      <c r="M93" s="363"/>
      <c r="N93" s="363"/>
      <c r="O93" s="363"/>
      <c r="P93" s="363"/>
      <c r="Q93" s="414"/>
    </row>
    <row r="94" spans="1:17" s="50" customFormat="1" ht="25" customHeight="1">
      <c r="A94" s="427" t="s">
        <v>282</v>
      </c>
      <c r="B94" s="442" t="s">
        <v>260</v>
      </c>
      <c r="C94" s="409">
        <v>5</v>
      </c>
      <c r="D94" s="409">
        <v>1</v>
      </c>
      <c r="E94" s="409">
        <v>5</v>
      </c>
      <c r="F94" s="180">
        <f t="shared" si="9"/>
        <v>412.5</v>
      </c>
      <c r="G94" s="409">
        <v>40</v>
      </c>
      <c r="H94" s="532">
        <f t="shared" si="12"/>
        <v>1000</v>
      </c>
      <c r="I94" s="196">
        <f t="shared" si="11"/>
        <v>412.5</v>
      </c>
      <c r="J94" s="197"/>
      <c r="K94" s="197"/>
      <c r="L94" s="197"/>
      <c r="M94" s="197"/>
      <c r="N94" s="197"/>
      <c r="O94" s="197"/>
      <c r="P94" s="197"/>
      <c r="Q94" s="180"/>
    </row>
    <row r="95" spans="1:17" s="50" customFormat="1" ht="25" customHeight="1">
      <c r="A95" s="427" t="s">
        <v>283</v>
      </c>
      <c r="B95" s="442" t="s">
        <v>278</v>
      </c>
      <c r="C95" s="409">
        <v>2</v>
      </c>
      <c r="D95" s="409">
        <v>1</v>
      </c>
      <c r="E95" s="409">
        <v>5</v>
      </c>
      <c r="F95" s="180">
        <f t="shared" si="9"/>
        <v>165</v>
      </c>
      <c r="G95" s="409">
        <v>40</v>
      </c>
      <c r="H95" s="532">
        <f t="shared" si="12"/>
        <v>400</v>
      </c>
      <c r="I95" s="196">
        <f t="shared" si="11"/>
        <v>165</v>
      </c>
      <c r="J95" s="197"/>
      <c r="K95" s="197"/>
      <c r="L95" s="197"/>
      <c r="M95" s="197"/>
      <c r="N95" s="197"/>
      <c r="O95" s="197"/>
      <c r="P95" s="197"/>
      <c r="Q95" s="180"/>
    </row>
    <row r="96" spans="1:17" s="50" customFormat="1" ht="25" customHeight="1">
      <c r="A96" s="427" t="s">
        <v>284</v>
      </c>
      <c r="B96" s="437" t="s">
        <v>279</v>
      </c>
      <c r="C96" s="409">
        <v>2</v>
      </c>
      <c r="D96" s="409">
        <v>1</v>
      </c>
      <c r="E96" s="409">
        <v>5</v>
      </c>
      <c r="F96" s="180">
        <f t="shared" si="9"/>
        <v>165</v>
      </c>
      <c r="G96" s="409">
        <v>40</v>
      </c>
      <c r="H96" s="532">
        <f t="shared" si="12"/>
        <v>400</v>
      </c>
      <c r="I96" s="196">
        <f t="shared" si="11"/>
        <v>165</v>
      </c>
      <c r="J96" s="197"/>
      <c r="K96" s="197"/>
      <c r="L96" s="197"/>
      <c r="M96" s="197"/>
      <c r="N96" s="197"/>
      <c r="O96" s="197"/>
      <c r="P96" s="197"/>
      <c r="Q96" s="180"/>
    </row>
    <row r="97" spans="1:17" s="50" customFormat="1" ht="25" customHeight="1">
      <c r="A97" s="427"/>
      <c r="B97" s="539" t="s">
        <v>291</v>
      </c>
      <c r="C97" s="409"/>
      <c r="D97" s="409"/>
      <c r="E97" s="409"/>
      <c r="F97" s="414"/>
      <c r="G97" s="409"/>
      <c r="H97" s="409"/>
      <c r="I97" s="412"/>
      <c r="J97" s="540"/>
      <c r="K97" s="540"/>
      <c r="L97" s="540"/>
      <c r="M97" s="540"/>
      <c r="N97" s="540"/>
      <c r="O97" s="540"/>
      <c r="P97" s="540"/>
      <c r="Q97" s="414"/>
    </row>
    <row r="98" spans="1:17" s="375" customFormat="1" ht="25" customHeight="1">
      <c r="A98" s="443" t="s">
        <v>287</v>
      </c>
      <c r="B98" s="444" t="s">
        <v>285</v>
      </c>
      <c r="C98" s="445">
        <v>3</v>
      </c>
      <c r="D98" s="445">
        <v>1</v>
      </c>
      <c r="E98" s="445">
        <v>3</v>
      </c>
      <c r="F98" s="180">
        <f t="shared" si="9"/>
        <v>148.5</v>
      </c>
      <c r="G98" s="409">
        <v>40</v>
      </c>
      <c r="H98" s="532">
        <f t="shared" si="12"/>
        <v>360</v>
      </c>
      <c r="I98" s="196">
        <f t="shared" si="11"/>
        <v>148.5</v>
      </c>
      <c r="Q98" s="446"/>
    </row>
    <row r="99" spans="1:17" s="375" customFormat="1" ht="25" customHeight="1">
      <c r="A99" s="443"/>
      <c r="B99" s="541" t="s">
        <v>704</v>
      </c>
      <c r="C99" s="445"/>
      <c r="D99" s="445"/>
      <c r="E99" s="445"/>
      <c r="F99" s="414"/>
      <c r="G99" s="409"/>
      <c r="H99" s="409"/>
      <c r="I99" s="412"/>
      <c r="Q99" s="451"/>
    </row>
    <row r="100" spans="1:17" s="375" customFormat="1" ht="25" customHeight="1">
      <c r="A100" s="443" t="s">
        <v>288</v>
      </c>
      <c r="B100" s="444" t="s">
        <v>263</v>
      </c>
      <c r="C100" s="445">
        <v>3</v>
      </c>
      <c r="D100" s="445">
        <v>1</v>
      </c>
      <c r="E100" s="445">
        <v>3</v>
      </c>
      <c r="F100" s="180">
        <f t="shared" si="9"/>
        <v>148.5</v>
      </c>
      <c r="G100" s="409">
        <v>40</v>
      </c>
      <c r="H100" s="532">
        <f t="shared" si="12"/>
        <v>360</v>
      </c>
      <c r="I100" s="196">
        <f t="shared" si="11"/>
        <v>148.5</v>
      </c>
      <c r="J100" s="447"/>
      <c r="K100" s="447"/>
      <c r="L100" s="448"/>
      <c r="M100" s="449"/>
      <c r="N100" s="449"/>
      <c r="O100" s="450"/>
      <c r="P100" s="450"/>
      <c r="Q100" s="451"/>
    </row>
    <row r="101" spans="1:17" s="375" customFormat="1" ht="25" customHeight="1">
      <c r="A101" s="443"/>
      <c r="B101" s="541" t="s">
        <v>646</v>
      </c>
      <c r="C101" s="445"/>
      <c r="D101" s="445"/>
      <c r="E101" s="445"/>
      <c r="F101" s="414"/>
      <c r="G101" s="409"/>
      <c r="H101" s="409"/>
      <c r="I101" s="412"/>
      <c r="J101" s="447"/>
      <c r="K101" s="447"/>
      <c r="L101" s="448"/>
      <c r="M101" s="449"/>
      <c r="N101" s="449"/>
      <c r="O101" s="450"/>
      <c r="P101" s="450"/>
      <c r="Q101" s="451"/>
    </row>
    <row r="102" spans="1:17" s="375" customFormat="1" ht="25" customHeight="1">
      <c r="A102" s="443" t="s">
        <v>289</v>
      </c>
      <c r="B102" s="444" t="s">
        <v>286</v>
      </c>
      <c r="C102" s="445">
        <v>5</v>
      </c>
      <c r="D102" s="445">
        <v>1</v>
      </c>
      <c r="E102" s="445">
        <v>3</v>
      </c>
      <c r="F102" s="180">
        <f t="shared" si="9"/>
        <v>247.5</v>
      </c>
      <c r="G102" s="409">
        <v>40</v>
      </c>
      <c r="H102" s="532">
        <f t="shared" si="12"/>
        <v>600</v>
      </c>
      <c r="I102" s="196">
        <f t="shared" si="11"/>
        <v>247.5</v>
      </c>
      <c r="J102" s="447"/>
      <c r="K102" s="447"/>
      <c r="L102" s="448"/>
      <c r="M102" s="449"/>
      <c r="N102" s="449"/>
      <c r="O102" s="450"/>
      <c r="P102" s="450"/>
      <c r="Q102" s="451"/>
    </row>
    <row r="103" spans="1:17" s="375" customFormat="1" ht="25" customHeight="1">
      <c r="A103" s="452"/>
      <c r="B103" s="429" t="s">
        <v>350</v>
      </c>
      <c r="C103" s="430">
        <f t="shared" ref="C103:I103" si="13">SUM(C80:C102)</f>
        <v>48</v>
      </c>
      <c r="D103" s="430">
        <f t="shared" si="13"/>
        <v>15</v>
      </c>
      <c r="E103" s="430">
        <f t="shared" si="13"/>
        <v>53</v>
      </c>
      <c r="F103" s="430">
        <f t="shared" si="13"/>
        <v>2772</v>
      </c>
      <c r="G103" s="430">
        <f t="shared" si="13"/>
        <v>600</v>
      </c>
      <c r="H103" s="430">
        <f t="shared" si="13"/>
        <v>6720</v>
      </c>
      <c r="I103" s="430">
        <f t="shared" si="13"/>
        <v>2772</v>
      </c>
      <c r="J103" s="447"/>
      <c r="K103" s="447"/>
      <c r="L103" s="448"/>
      <c r="M103" s="449"/>
      <c r="N103" s="449"/>
      <c r="O103" s="450"/>
      <c r="P103" s="450"/>
      <c r="Q103" s="451"/>
    </row>
    <row r="104" spans="1:17" s="375" customFormat="1" ht="25" customHeight="1">
      <c r="A104" s="453">
        <v>2</v>
      </c>
      <c r="B104" s="453" t="s">
        <v>83</v>
      </c>
      <c r="C104" s="445">
        <v>0</v>
      </c>
      <c r="D104" s="445">
        <v>0</v>
      </c>
      <c r="E104" s="445">
        <v>0</v>
      </c>
      <c r="F104" s="445"/>
      <c r="G104" s="409">
        <v>0</v>
      </c>
      <c r="H104" s="454"/>
      <c r="I104" s="454"/>
      <c r="J104" s="447"/>
      <c r="K104" s="447"/>
      <c r="L104" s="448"/>
      <c r="M104" s="449"/>
      <c r="N104" s="449"/>
      <c r="O104" s="450"/>
      <c r="P104" s="450"/>
      <c r="Q104" s="451"/>
    </row>
    <row r="105" spans="1:17" s="50" customFormat="1" ht="25" customHeight="1">
      <c r="A105" s="455"/>
      <c r="B105" s="455" t="s">
        <v>369</v>
      </c>
      <c r="C105" s="364">
        <f t="shared" ref="C105:I105" si="14">C63+C74+C103</f>
        <v>188</v>
      </c>
      <c r="D105" s="364">
        <f t="shared" si="14"/>
        <v>65.66</v>
      </c>
      <c r="E105" s="364">
        <f t="shared" si="14"/>
        <v>215</v>
      </c>
      <c r="F105" s="364">
        <f t="shared" si="14"/>
        <v>10621.3</v>
      </c>
      <c r="G105" s="364">
        <f t="shared" si="14"/>
        <v>2779</v>
      </c>
      <c r="H105" s="364">
        <f t="shared" si="14"/>
        <v>25618</v>
      </c>
      <c r="I105" s="364">
        <f t="shared" si="14"/>
        <v>10621.3</v>
      </c>
      <c r="J105" s="456">
        <v>0</v>
      </c>
      <c r="K105" s="456">
        <v>0</v>
      </c>
      <c r="L105" s="457">
        <f>'Bieu3 GDTH'!F24</f>
        <v>2632</v>
      </c>
      <c r="M105" s="458">
        <f>'Bieu3 GDTH'!N24</f>
        <v>2402.5</v>
      </c>
      <c r="N105" s="458">
        <f>F105-M105</f>
        <v>8218.7999999999993</v>
      </c>
      <c r="O105" s="210">
        <f>'Bieu3 GDTH'!O24</f>
        <v>1422.25</v>
      </c>
      <c r="P105" s="210">
        <f>'Bieu3 GDTH'!P24</f>
        <v>780</v>
      </c>
      <c r="Q105" s="367" t="s">
        <v>686</v>
      </c>
    </row>
    <row r="106" spans="1:17" s="50" customFormat="1" ht="25" customHeight="1">
      <c r="A106" s="399" t="s">
        <v>18</v>
      </c>
      <c r="B106" s="399" t="s">
        <v>370</v>
      </c>
      <c r="C106" s="532"/>
      <c r="D106" s="532"/>
      <c r="E106" s="532"/>
      <c r="F106" s="532"/>
      <c r="G106" s="532"/>
      <c r="H106" s="532"/>
      <c r="I106" s="197"/>
      <c r="J106" s="197"/>
      <c r="K106" s="197"/>
      <c r="L106" s="197"/>
      <c r="M106" s="197"/>
      <c r="N106" s="197"/>
      <c r="O106" s="197"/>
      <c r="P106" s="197"/>
      <c r="Q106" s="180"/>
    </row>
    <row r="107" spans="1:17" s="50" customFormat="1" ht="25" customHeight="1">
      <c r="A107" s="459" t="s">
        <v>372</v>
      </c>
      <c r="B107" s="459" t="s">
        <v>373</v>
      </c>
      <c r="C107" s="532"/>
      <c r="D107" s="532"/>
      <c r="E107" s="532"/>
      <c r="F107" s="532"/>
      <c r="G107" s="532"/>
      <c r="H107" s="532"/>
      <c r="I107" s="197"/>
      <c r="J107" s="197"/>
      <c r="K107" s="197"/>
      <c r="L107" s="197"/>
      <c r="M107" s="197"/>
      <c r="N107" s="197"/>
      <c r="O107" s="197"/>
      <c r="P107" s="197"/>
      <c r="Q107" s="180"/>
    </row>
    <row r="108" spans="1:17" s="50" customFormat="1" ht="25" customHeight="1">
      <c r="A108" s="459">
        <v>1</v>
      </c>
      <c r="B108" s="459" t="s">
        <v>374</v>
      </c>
      <c r="C108" s="532"/>
      <c r="D108" s="532"/>
      <c r="E108" s="532"/>
      <c r="F108" s="532"/>
      <c r="G108" s="532"/>
      <c r="H108" s="532"/>
      <c r="I108" s="197"/>
      <c r="J108" s="197"/>
      <c r="K108" s="197"/>
      <c r="L108" s="197"/>
      <c r="M108" s="197"/>
      <c r="N108" s="197"/>
      <c r="O108" s="197"/>
      <c r="P108" s="197"/>
      <c r="Q108" s="180"/>
    </row>
    <row r="109" spans="1:17" s="50" customFormat="1" ht="25" customHeight="1">
      <c r="A109" s="460" t="s">
        <v>145</v>
      </c>
      <c r="B109" s="461" t="s">
        <v>159</v>
      </c>
      <c r="C109" s="532"/>
      <c r="D109" s="532"/>
      <c r="E109" s="532"/>
      <c r="F109" s="532"/>
      <c r="G109" s="532"/>
      <c r="H109" s="532"/>
      <c r="I109" s="197"/>
      <c r="J109" s="197"/>
      <c r="K109" s="197"/>
      <c r="L109" s="197"/>
      <c r="M109" s="197"/>
      <c r="N109" s="197"/>
      <c r="O109" s="197"/>
      <c r="P109" s="197"/>
      <c r="Q109" s="180"/>
    </row>
    <row r="110" spans="1:17" s="50" customFormat="1" ht="25" customHeight="1">
      <c r="A110" s="369"/>
      <c r="B110" s="468" t="s">
        <v>705</v>
      </c>
      <c r="C110" s="409"/>
      <c r="D110" s="409"/>
      <c r="E110" s="409"/>
      <c r="F110" s="409"/>
      <c r="G110" s="409"/>
      <c r="H110" s="409"/>
      <c r="I110" s="363"/>
      <c r="J110" s="363"/>
      <c r="K110" s="363"/>
      <c r="L110" s="363"/>
      <c r="M110" s="363"/>
      <c r="N110" s="363"/>
      <c r="O110" s="363"/>
      <c r="P110" s="363"/>
      <c r="Q110" s="414"/>
    </row>
    <row r="111" spans="1:17" s="50" customFormat="1" ht="25" customHeight="1">
      <c r="A111" s="407" t="s">
        <v>224</v>
      </c>
      <c r="B111" s="436" t="s">
        <v>581</v>
      </c>
      <c r="C111" s="412">
        <v>3</v>
      </c>
      <c r="D111" s="412">
        <v>1</v>
      </c>
      <c r="E111" s="412">
        <v>3</v>
      </c>
      <c r="F111" s="180">
        <f t="shared" ref="F111:F145" si="15">I111+J111+K111</f>
        <v>148.5</v>
      </c>
      <c r="G111" s="412">
        <v>60</v>
      </c>
      <c r="H111" s="532">
        <f t="shared" ref="H111:H159" si="16">C111*E111*G111</f>
        <v>540</v>
      </c>
      <c r="I111" s="196">
        <f t="shared" ref="I111:I149" si="17">IF(G111&lt;70, C111*E111*16.5*1, C111*E111*16.5*1.3)</f>
        <v>148.5</v>
      </c>
      <c r="J111" s="363"/>
      <c r="K111" s="363"/>
      <c r="L111" s="197"/>
      <c r="M111" s="197"/>
      <c r="N111" s="197"/>
      <c r="O111" s="197"/>
      <c r="P111" s="197"/>
      <c r="Q111" s="180"/>
    </row>
    <row r="112" spans="1:17" s="50" customFormat="1" ht="25" customHeight="1">
      <c r="A112" s="407" t="s">
        <v>225</v>
      </c>
      <c r="B112" s="436" t="s">
        <v>582</v>
      </c>
      <c r="C112" s="412">
        <v>4</v>
      </c>
      <c r="D112" s="412">
        <v>1.3</v>
      </c>
      <c r="E112" s="412">
        <v>3</v>
      </c>
      <c r="F112" s="180">
        <f t="shared" si="15"/>
        <v>257.40000000000003</v>
      </c>
      <c r="G112" s="412">
        <v>70</v>
      </c>
      <c r="H112" s="532">
        <f t="shared" si="16"/>
        <v>840</v>
      </c>
      <c r="I112" s="196">
        <f t="shared" si="17"/>
        <v>257.40000000000003</v>
      </c>
      <c r="J112" s="363"/>
      <c r="K112" s="363"/>
      <c r="L112" s="197"/>
      <c r="M112" s="197"/>
      <c r="N112" s="197"/>
      <c r="O112" s="197"/>
      <c r="P112" s="197"/>
      <c r="Q112" s="180"/>
    </row>
    <row r="113" spans="1:17" s="50" customFormat="1" ht="25" customHeight="1">
      <c r="A113" s="407"/>
      <c r="B113" s="435" t="s">
        <v>706</v>
      </c>
      <c r="C113" s="412"/>
      <c r="D113" s="412"/>
      <c r="E113" s="412"/>
      <c r="F113" s="414"/>
      <c r="G113" s="412"/>
      <c r="H113" s="409"/>
      <c r="I113" s="412"/>
      <c r="J113" s="363"/>
      <c r="K113" s="363"/>
      <c r="L113" s="363"/>
      <c r="M113" s="363"/>
      <c r="N113" s="363"/>
      <c r="O113" s="363"/>
      <c r="P113" s="363"/>
      <c r="Q113" s="414"/>
    </row>
    <row r="114" spans="1:17" s="50" customFormat="1" ht="25" customHeight="1">
      <c r="A114" s="407" t="s">
        <v>226</v>
      </c>
      <c r="B114" s="436" t="s">
        <v>583</v>
      </c>
      <c r="C114" s="412">
        <v>1</v>
      </c>
      <c r="D114" s="412">
        <v>1.3</v>
      </c>
      <c r="E114" s="412">
        <v>8</v>
      </c>
      <c r="F114" s="180">
        <f t="shared" si="15"/>
        <v>132</v>
      </c>
      <c r="G114" s="412">
        <v>20</v>
      </c>
      <c r="H114" s="532">
        <f t="shared" si="16"/>
        <v>160</v>
      </c>
      <c r="I114" s="196">
        <f t="shared" si="17"/>
        <v>132</v>
      </c>
      <c r="J114" s="363"/>
      <c r="K114" s="363"/>
      <c r="L114" s="197"/>
      <c r="M114" s="197"/>
      <c r="N114" s="197"/>
      <c r="O114" s="197"/>
      <c r="P114" s="197"/>
      <c r="Q114" s="180"/>
    </row>
    <row r="115" spans="1:17" s="50" customFormat="1" ht="25" customHeight="1">
      <c r="A115" s="407" t="s">
        <v>226</v>
      </c>
      <c r="B115" s="436" t="s">
        <v>584</v>
      </c>
      <c r="C115" s="412">
        <v>1</v>
      </c>
      <c r="D115" s="412">
        <v>1.3</v>
      </c>
      <c r="E115" s="412">
        <v>8</v>
      </c>
      <c r="F115" s="180">
        <f t="shared" si="15"/>
        <v>132</v>
      </c>
      <c r="G115" s="412">
        <v>20</v>
      </c>
      <c r="H115" s="532">
        <f t="shared" si="16"/>
        <v>160</v>
      </c>
      <c r="I115" s="196">
        <f t="shared" si="17"/>
        <v>132</v>
      </c>
      <c r="J115" s="363"/>
      <c r="K115" s="363"/>
      <c r="L115" s="197"/>
      <c r="M115" s="197"/>
      <c r="N115" s="197"/>
      <c r="O115" s="197"/>
      <c r="P115" s="197"/>
      <c r="Q115" s="180"/>
    </row>
    <row r="116" spans="1:17" s="50" customFormat="1" ht="25" customHeight="1">
      <c r="A116" s="407" t="s">
        <v>227</v>
      </c>
      <c r="B116" s="436" t="s">
        <v>585</v>
      </c>
      <c r="C116" s="412">
        <v>1</v>
      </c>
      <c r="D116" s="412">
        <v>1.3</v>
      </c>
      <c r="E116" s="412">
        <v>7</v>
      </c>
      <c r="F116" s="180">
        <f t="shared" si="15"/>
        <v>115.5</v>
      </c>
      <c r="G116" s="412">
        <v>20</v>
      </c>
      <c r="H116" s="532">
        <f t="shared" si="16"/>
        <v>140</v>
      </c>
      <c r="I116" s="196">
        <f t="shared" si="17"/>
        <v>115.5</v>
      </c>
      <c r="J116" s="363"/>
      <c r="K116" s="363"/>
      <c r="L116" s="197"/>
      <c r="M116" s="197"/>
      <c r="N116" s="197"/>
      <c r="O116" s="197"/>
      <c r="P116" s="197"/>
      <c r="Q116" s="180"/>
    </row>
    <row r="117" spans="1:17" s="50" customFormat="1" ht="25" customHeight="1">
      <c r="A117" s="407" t="s">
        <v>393</v>
      </c>
      <c r="B117" s="437" t="s">
        <v>371</v>
      </c>
      <c r="C117" s="409">
        <v>2</v>
      </c>
      <c r="D117" s="409">
        <v>1.3</v>
      </c>
      <c r="E117" s="409">
        <v>2</v>
      </c>
      <c r="F117" s="180">
        <f t="shared" si="15"/>
        <v>85.8</v>
      </c>
      <c r="G117" s="409">
        <v>70</v>
      </c>
      <c r="H117" s="532">
        <f>C117*E117*G117</f>
        <v>280</v>
      </c>
      <c r="I117" s="196">
        <f>IF(G117&lt;70, C117*E117*16.5*1, C117*E117*16.5*1.3)</f>
        <v>85.8</v>
      </c>
      <c r="J117" s="363"/>
      <c r="K117" s="363"/>
      <c r="L117" s="363"/>
      <c r="M117" s="363"/>
      <c r="N117" s="363"/>
      <c r="O117" s="363"/>
      <c r="P117" s="363"/>
      <c r="Q117" s="414"/>
    </row>
    <row r="118" spans="1:17" s="50" customFormat="1" ht="25" customHeight="1">
      <c r="A118" s="407"/>
      <c r="B118" s="435" t="s">
        <v>707</v>
      </c>
      <c r="C118" s="412"/>
      <c r="D118" s="412"/>
      <c r="E118" s="412"/>
      <c r="F118" s="414"/>
      <c r="G118" s="412"/>
      <c r="H118" s="409"/>
      <c r="I118" s="412"/>
      <c r="J118" s="363"/>
      <c r="K118" s="363"/>
      <c r="L118" s="363"/>
      <c r="M118" s="363"/>
      <c r="N118" s="363"/>
      <c r="O118" s="363"/>
      <c r="P118" s="363"/>
      <c r="Q118" s="414"/>
    </row>
    <row r="119" spans="1:17" s="50" customFormat="1" ht="25" customHeight="1">
      <c r="A119" s="407" t="s">
        <v>228</v>
      </c>
      <c r="B119" s="436" t="s">
        <v>380</v>
      </c>
      <c r="C119" s="412">
        <v>4</v>
      </c>
      <c r="D119" s="412">
        <v>1</v>
      </c>
      <c r="E119" s="412">
        <v>3</v>
      </c>
      <c r="F119" s="180">
        <f t="shared" si="15"/>
        <v>198</v>
      </c>
      <c r="G119" s="412">
        <v>60</v>
      </c>
      <c r="H119" s="532">
        <f t="shared" si="16"/>
        <v>720</v>
      </c>
      <c r="I119" s="196">
        <f t="shared" si="17"/>
        <v>198</v>
      </c>
      <c r="J119" s="363"/>
      <c r="K119" s="363"/>
      <c r="L119" s="197"/>
      <c r="M119" s="197"/>
      <c r="N119" s="197"/>
      <c r="O119" s="197"/>
      <c r="P119" s="197"/>
      <c r="Q119" s="180"/>
    </row>
    <row r="120" spans="1:17" s="50" customFormat="1" ht="25" customHeight="1">
      <c r="A120" s="407"/>
      <c r="B120" s="435" t="s">
        <v>714</v>
      </c>
      <c r="C120" s="412"/>
      <c r="D120" s="412"/>
      <c r="E120" s="412"/>
      <c r="F120" s="414"/>
      <c r="G120" s="412"/>
      <c r="H120" s="409"/>
      <c r="I120" s="412"/>
      <c r="J120" s="363"/>
      <c r="K120" s="363"/>
      <c r="L120" s="363"/>
      <c r="M120" s="363"/>
      <c r="N120" s="363"/>
      <c r="O120" s="363"/>
      <c r="P120" s="363"/>
      <c r="Q120" s="414"/>
    </row>
    <row r="121" spans="1:17" s="50" customFormat="1" ht="25" customHeight="1">
      <c r="A121" s="407" t="s">
        <v>280</v>
      </c>
      <c r="B121" s="436" t="s">
        <v>586</v>
      </c>
      <c r="C121" s="412">
        <v>2</v>
      </c>
      <c r="D121" s="412">
        <v>1</v>
      </c>
      <c r="E121" s="412">
        <v>3</v>
      </c>
      <c r="F121" s="180">
        <f t="shared" si="15"/>
        <v>128.70000000000002</v>
      </c>
      <c r="G121" s="412">
        <v>70</v>
      </c>
      <c r="H121" s="532">
        <f t="shared" si="16"/>
        <v>420</v>
      </c>
      <c r="I121" s="196">
        <f t="shared" si="17"/>
        <v>128.70000000000002</v>
      </c>
      <c r="J121" s="363"/>
      <c r="K121" s="363"/>
      <c r="L121" s="197"/>
      <c r="M121" s="197"/>
      <c r="N121" s="197"/>
      <c r="O121" s="197"/>
      <c r="P121" s="197"/>
      <c r="Q121" s="180"/>
    </row>
    <row r="122" spans="1:17" s="50" customFormat="1" ht="25" customHeight="1">
      <c r="A122" s="407"/>
      <c r="B122" s="435" t="s">
        <v>710</v>
      </c>
      <c r="C122" s="412"/>
      <c r="D122" s="412"/>
      <c r="E122" s="412"/>
      <c r="F122" s="180">
        <f t="shared" si="15"/>
        <v>0</v>
      </c>
      <c r="G122" s="412"/>
      <c r="H122" s="409"/>
      <c r="I122" s="412"/>
      <c r="J122" s="363"/>
      <c r="K122" s="363"/>
      <c r="L122" s="363"/>
      <c r="M122" s="363"/>
      <c r="N122" s="363"/>
      <c r="O122" s="363"/>
      <c r="P122" s="363"/>
      <c r="Q122" s="414"/>
    </row>
    <row r="123" spans="1:17" s="50" customFormat="1" ht="25" customHeight="1">
      <c r="A123" s="407" t="s">
        <v>288</v>
      </c>
      <c r="B123" s="436" t="s">
        <v>592</v>
      </c>
      <c r="C123" s="409">
        <v>3</v>
      </c>
      <c r="D123" s="409">
        <v>1</v>
      </c>
      <c r="E123" s="409">
        <v>2</v>
      </c>
      <c r="F123" s="180">
        <f t="shared" si="15"/>
        <v>128.70000000000002</v>
      </c>
      <c r="G123" s="409">
        <v>70</v>
      </c>
      <c r="H123" s="532">
        <f>C123*E123*G123</f>
        <v>420</v>
      </c>
      <c r="I123" s="196">
        <f>IF(G123&lt;70, C123*E123*16.5*1, C123*E123*16.5*1.3)</f>
        <v>128.70000000000002</v>
      </c>
      <c r="J123" s="363"/>
      <c r="K123" s="363"/>
      <c r="L123" s="363"/>
      <c r="M123" s="363"/>
      <c r="N123" s="363"/>
      <c r="O123" s="363"/>
      <c r="P123" s="363"/>
      <c r="Q123" s="414"/>
    </row>
    <row r="124" spans="1:17" s="50" customFormat="1" ht="25" customHeight="1">
      <c r="A124" s="407" t="s">
        <v>289</v>
      </c>
      <c r="B124" s="436" t="s">
        <v>492</v>
      </c>
      <c r="C124" s="409">
        <v>2</v>
      </c>
      <c r="D124" s="409">
        <v>1</v>
      </c>
      <c r="E124" s="409">
        <v>1</v>
      </c>
      <c r="F124" s="180">
        <f t="shared" si="15"/>
        <v>33</v>
      </c>
      <c r="G124" s="409">
        <v>40</v>
      </c>
      <c r="H124" s="532">
        <f>C124*E124*G124</f>
        <v>80</v>
      </c>
      <c r="I124" s="196">
        <f>IF(G124&lt;70, C124*E124*16.5*1, C124*E124*16.5*1.3)</f>
        <v>33</v>
      </c>
      <c r="J124" s="363"/>
      <c r="K124" s="363"/>
      <c r="L124" s="363"/>
      <c r="M124" s="363"/>
      <c r="N124" s="363"/>
      <c r="O124" s="363"/>
      <c r="P124" s="363"/>
      <c r="Q124" s="414"/>
    </row>
    <row r="125" spans="1:17" s="50" customFormat="1" ht="25" customHeight="1">
      <c r="A125" s="407"/>
      <c r="B125" s="435" t="s">
        <v>708</v>
      </c>
      <c r="C125" s="412"/>
      <c r="D125" s="412"/>
      <c r="E125" s="412"/>
      <c r="F125" s="414"/>
      <c r="G125" s="412"/>
      <c r="H125" s="409"/>
      <c r="I125" s="412"/>
      <c r="J125" s="363"/>
      <c r="K125" s="363"/>
      <c r="L125" s="363"/>
      <c r="M125" s="363"/>
      <c r="N125" s="363"/>
      <c r="O125" s="363"/>
      <c r="P125" s="363"/>
      <c r="Q125" s="414"/>
    </row>
    <row r="126" spans="1:17" s="50" customFormat="1" ht="25" customHeight="1">
      <c r="A126" s="407" t="s">
        <v>281</v>
      </c>
      <c r="B126" s="436" t="s">
        <v>587</v>
      </c>
      <c r="C126" s="412">
        <v>3</v>
      </c>
      <c r="D126" s="412">
        <v>1</v>
      </c>
      <c r="E126" s="412">
        <v>2</v>
      </c>
      <c r="F126" s="180">
        <f t="shared" si="15"/>
        <v>99</v>
      </c>
      <c r="G126" s="412">
        <v>60</v>
      </c>
      <c r="H126" s="532">
        <f t="shared" si="16"/>
        <v>360</v>
      </c>
      <c r="I126" s="196">
        <f t="shared" si="17"/>
        <v>99</v>
      </c>
      <c r="J126" s="363"/>
      <c r="K126" s="363"/>
      <c r="L126" s="197"/>
      <c r="M126" s="197"/>
      <c r="N126" s="197"/>
      <c r="O126" s="197"/>
      <c r="P126" s="197"/>
      <c r="Q126" s="180"/>
    </row>
    <row r="127" spans="1:17" s="50" customFormat="1" ht="25" customHeight="1">
      <c r="A127" s="407" t="s">
        <v>282</v>
      </c>
      <c r="B127" s="436" t="s">
        <v>588</v>
      </c>
      <c r="C127" s="412">
        <v>3</v>
      </c>
      <c r="D127" s="412">
        <v>1.1000000000000001</v>
      </c>
      <c r="E127" s="412">
        <v>3</v>
      </c>
      <c r="F127" s="180">
        <f t="shared" si="15"/>
        <v>193.05</v>
      </c>
      <c r="G127" s="412">
        <v>70</v>
      </c>
      <c r="H127" s="532">
        <f t="shared" si="16"/>
        <v>630</v>
      </c>
      <c r="I127" s="196">
        <f t="shared" si="17"/>
        <v>193.05</v>
      </c>
      <c r="J127" s="363"/>
      <c r="K127" s="363"/>
      <c r="L127" s="197"/>
      <c r="M127" s="197"/>
      <c r="N127" s="197"/>
      <c r="O127" s="197"/>
      <c r="P127" s="197"/>
      <c r="Q127" s="180"/>
    </row>
    <row r="128" spans="1:17" s="50" customFormat="1" ht="25" customHeight="1">
      <c r="A128" s="407"/>
      <c r="B128" s="435" t="s">
        <v>709</v>
      </c>
      <c r="C128" s="412"/>
      <c r="D128" s="412"/>
      <c r="E128" s="412"/>
      <c r="F128" s="414"/>
      <c r="G128" s="412"/>
      <c r="H128" s="409"/>
      <c r="I128" s="412"/>
      <c r="J128" s="363"/>
      <c r="K128" s="363"/>
      <c r="L128" s="363"/>
      <c r="M128" s="363"/>
      <c r="N128" s="363"/>
      <c r="O128" s="363"/>
      <c r="P128" s="363"/>
      <c r="Q128" s="414"/>
    </row>
    <row r="129" spans="1:17" s="50" customFormat="1" ht="25" customHeight="1">
      <c r="A129" s="407" t="s">
        <v>283</v>
      </c>
      <c r="B129" s="436" t="s">
        <v>589</v>
      </c>
      <c r="C129" s="409">
        <v>3</v>
      </c>
      <c r="D129" s="409">
        <v>1</v>
      </c>
      <c r="E129" s="409">
        <v>2</v>
      </c>
      <c r="F129" s="180">
        <f t="shared" si="15"/>
        <v>128.70000000000002</v>
      </c>
      <c r="G129" s="409">
        <v>70</v>
      </c>
      <c r="H129" s="532">
        <f t="shared" si="16"/>
        <v>420</v>
      </c>
      <c r="I129" s="196">
        <f t="shared" si="17"/>
        <v>128.70000000000002</v>
      </c>
      <c r="J129" s="363"/>
      <c r="K129" s="363"/>
      <c r="L129" s="197"/>
      <c r="M129" s="197"/>
      <c r="N129" s="197"/>
      <c r="O129" s="197"/>
      <c r="P129" s="197"/>
      <c r="Q129" s="180"/>
    </row>
    <row r="130" spans="1:17" s="50" customFormat="1" ht="25" customHeight="1">
      <c r="A130" s="407" t="s">
        <v>284</v>
      </c>
      <c r="B130" s="436" t="s">
        <v>590</v>
      </c>
      <c r="C130" s="409">
        <v>4</v>
      </c>
      <c r="D130" s="409">
        <v>1</v>
      </c>
      <c r="E130" s="409">
        <v>3</v>
      </c>
      <c r="F130" s="180">
        <f t="shared" si="15"/>
        <v>257.40000000000003</v>
      </c>
      <c r="G130" s="409">
        <v>70</v>
      </c>
      <c r="H130" s="532">
        <f t="shared" si="16"/>
        <v>840</v>
      </c>
      <c r="I130" s="196">
        <f t="shared" si="17"/>
        <v>257.40000000000003</v>
      </c>
      <c r="J130" s="363"/>
      <c r="K130" s="363"/>
      <c r="L130" s="197"/>
      <c r="M130" s="197"/>
      <c r="N130" s="197"/>
      <c r="O130" s="197"/>
      <c r="P130" s="197"/>
      <c r="Q130" s="180"/>
    </row>
    <row r="131" spans="1:17" s="50" customFormat="1" ht="25" customHeight="1">
      <c r="A131" s="407"/>
      <c r="B131" s="435" t="s">
        <v>711</v>
      </c>
      <c r="C131" s="409"/>
      <c r="D131" s="409"/>
      <c r="E131" s="409"/>
      <c r="F131" s="414"/>
      <c r="G131" s="409"/>
      <c r="H131" s="409"/>
      <c r="I131" s="412"/>
      <c r="J131" s="363"/>
      <c r="K131" s="363"/>
      <c r="L131" s="363"/>
      <c r="M131" s="363"/>
      <c r="N131" s="363"/>
      <c r="O131" s="363"/>
      <c r="P131" s="363"/>
      <c r="Q131" s="414"/>
    </row>
    <row r="132" spans="1:17" s="50" customFormat="1" ht="25" customHeight="1">
      <c r="A132" s="407" t="s">
        <v>287</v>
      </c>
      <c r="B132" s="436" t="s">
        <v>591</v>
      </c>
      <c r="C132" s="409">
        <v>2</v>
      </c>
      <c r="D132" s="409">
        <v>1.3</v>
      </c>
      <c r="E132" s="409">
        <v>6</v>
      </c>
      <c r="F132" s="180">
        <f t="shared" si="15"/>
        <v>198</v>
      </c>
      <c r="G132" s="409">
        <v>25</v>
      </c>
      <c r="H132" s="532">
        <f t="shared" si="16"/>
        <v>300</v>
      </c>
      <c r="I132" s="196">
        <f t="shared" si="17"/>
        <v>198</v>
      </c>
      <c r="J132" s="363"/>
      <c r="K132" s="363"/>
      <c r="L132" s="197"/>
      <c r="M132" s="197"/>
      <c r="N132" s="197"/>
      <c r="O132" s="197"/>
      <c r="P132" s="197"/>
      <c r="Q132" s="180"/>
    </row>
    <row r="133" spans="1:17" s="50" customFormat="1" ht="25" customHeight="1">
      <c r="A133" s="407" t="s">
        <v>290</v>
      </c>
      <c r="B133" s="437" t="s">
        <v>593</v>
      </c>
      <c r="C133" s="409">
        <v>4</v>
      </c>
      <c r="D133" s="409">
        <v>1</v>
      </c>
      <c r="E133" s="409">
        <v>3</v>
      </c>
      <c r="F133" s="180">
        <f t="shared" si="15"/>
        <v>257.40000000000003</v>
      </c>
      <c r="G133" s="409">
        <v>70</v>
      </c>
      <c r="H133" s="532">
        <f t="shared" si="16"/>
        <v>840</v>
      </c>
      <c r="I133" s="196">
        <f t="shared" si="17"/>
        <v>257.40000000000003</v>
      </c>
      <c r="J133" s="462">
        <v>0</v>
      </c>
      <c r="K133" s="462">
        <v>0</v>
      </c>
      <c r="L133" s="197"/>
      <c r="M133" s="197"/>
      <c r="N133" s="197"/>
      <c r="O133" s="197"/>
      <c r="P133" s="197"/>
      <c r="Q133" s="180"/>
    </row>
    <row r="134" spans="1:17" s="50" customFormat="1" ht="25" customHeight="1">
      <c r="A134" s="407" t="s">
        <v>390</v>
      </c>
      <c r="B134" s="437" t="s">
        <v>594</v>
      </c>
      <c r="C134" s="409">
        <v>3</v>
      </c>
      <c r="D134" s="409">
        <v>1.2</v>
      </c>
      <c r="E134" s="409">
        <v>2</v>
      </c>
      <c r="F134" s="180">
        <f t="shared" si="15"/>
        <v>99</v>
      </c>
      <c r="G134" s="409">
        <v>25</v>
      </c>
      <c r="H134" s="532">
        <f t="shared" si="16"/>
        <v>150</v>
      </c>
      <c r="I134" s="196">
        <v>0</v>
      </c>
      <c r="J134" s="412">
        <f>IF(G134&lt;70, C134*E134*16.5*1, C134*E134*16.5*1.3)</f>
        <v>99</v>
      </c>
      <c r="K134" s="363"/>
      <c r="L134" s="197"/>
      <c r="M134" s="197"/>
      <c r="N134" s="197"/>
      <c r="O134" s="197"/>
      <c r="P134" s="197"/>
      <c r="Q134" s="180"/>
    </row>
    <row r="135" spans="1:17" s="50" customFormat="1" ht="25" customHeight="1">
      <c r="A135" s="407" t="s">
        <v>391</v>
      </c>
      <c r="B135" s="437" t="s">
        <v>595</v>
      </c>
      <c r="C135" s="409">
        <v>4</v>
      </c>
      <c r="D135" s="409">
        <v>1</v>
      </c>
      <c r="E135" s="409">
        <v>3</v>
      </c>
      <c r="F135" s="180">
        <f t="shared" si="15"/>
        <v>257.40000000000003</v>
      </c>
      <c r="G135" s="409">
        <v>70</v>
      </c>
      <c r="H135" s="532">
        <f t="shared" si="16"/>
        <v>840</v>
      </c>
      <c r="I135" s="196">
        <f t="shared" si="17"/>
        <v>257.40000000000003</v>
      </c>
      <c r="J135" s="363"/>
      <c r="K135" s="363"/>
      <c r="L135" s="197"/>
      <c r="M135" s="197"/>
      <c r="N135" s="197"/>
      <c r="O135" s="197"/>
      <c r="P135" s="197"/>
      <c r="Q135" s="180"/>
    </row>
    <row r="136" spans="1:17" s="50" customFormat="1" ht="25" customHeight="1">
      <c r="A136" s="407" t="s">
        <v>392</v>
      </c>
      <c r="B136" s="437" t="s">
        <v>596</v>
      </c>
      <c r="C136" s="409">
        <v>4</v>
      </c>
      <c r="D136" s="409">
        <v>1</v>
      </c>
      <c r="E136" s="409">
        <v>3</v>
      </c>
      <c r="F136" s="180">
        <f t="shared" si="15"/>
        <v>257.40000000000003</v>
      </c>
      <c r="G136" s="409">
        <v>70</v>
      </c>
      <c r="H136" s="532">
        <f t="shared" si="16"/>
        <v>840</v>
      </c>
      <c r="I136" s="196">
        <f t="shared" si="17"/>
        <v>257.40000000000003</v>
      </c>
      <c r="J136" s="363"/>
      <c r="K136" s="363"/>
      <c r="L136" s="197"/>
      <c r="M136" s="197"/>
      <c r="N136" s="197"/>
      <c r="O136" s="197"/>
      <c r="P136" s="197"/>
      <c r="Q136" s="180"/>
    </row>
    <row r="137" spans="1:17" s="50" customFormat="1" ht="25" customHeight="1">
      <c r="A137" s="407" t="s">
        <v>393</v>
      </c>
      <c r="B137" s="437" t="s">
        <v>597</v>
      </c>
      <c r="C137" s="409">
        <v>4</v>
      </c>
      <c r="D137" s="409">
        <v>1.3</v>
      </c>
      <c r="E137" s="409">
        <v>3</v>
      </c>
      <c r="F137" s="180">
        <f t="shared" si="15"/>
        <v>257.40000000000003</v>
      </c>
      <c r="G137" s="409">
        <v>70</v>
      </c>
      <c r="H137" s="532">
        <f t="shared" si="16"/>
        <v>840</v>
      </c>
      <c r="I137" s="196">
        <f t="shared" si="17"/>
        <v>257.40000000000003</v>
      </c>
      <c r="J137" s="363">
        <v>0</v>
      </c>
      <c r="K137" s="363">
        <v>0</v>
      </c>
      <c r="L137" s="197"/>
      <c r="M137" s="197"/>
      <c r="N137" s="197"/>
      <c r="O137" s="197"/>
      <c r="P137" s="197"/>
      <c r="Q137" s="180"/>
    </row>
    <row r="138" spans="1:17" s="50" customFormat="1" ht="25" customHeight="1">
      <c r="A138" s="407" t="s">
        <v>394</v>
      </c>
      <c r="B138" s="437" t="s">
        <v>598</v>
      </c>
      <c r="C138" s="409">
        <v>3</v>
      </c>
      <c r="D138" s="409">
        <v>1</v>
      </c>
      <c r="E138" s="409">
        <v>2</v>
      </c>
      <c r="F138" s="180">
        <f t="shared" si="15"/>
        <v>128.70000000000002</v>
      </c>
      <c r="G138" s="409">
        <v>70</v>
      </c>
      <c r="H138" s="532">
        <f t="shared" si="16"/>
        <v>420</v>
      </c>
      <c r="I138" s="196">
        <f t="shared" si="17"/>
        <v>128.70000000000002</v>
      </c>
      <c r="J138" s="363"/>
      <c r="K138" s="363"/>
      <c r="L138" s="197"/>
      <c r="M138" s="197"/>
      <c r="N138" s="197"/>
      <c r="O138" s="197"/>
      <c r="P138" s="197"/>
      <c r="Q138" s="180"/>
    </row>
    <row r="139" spans="1:17" s="50" customFormat="1" ht="25" customHeight="1">
      <c r="A139" s="407" t="s">
        <v>395</v>
      </c>
      <c r="B139" s="437" t="s">
        <v>599</v>
      </c>
      <c r="C139" s="409">
        <v>2</v>
      </c>
      <c r="D139" s="409">
        <v>1.3</v>
      </c>
      <c r="E139" s="409">
        <v>2</v>
      </c>
      <c r="F139" s="180">
        <f t="shared" si="15"/>
        <v>66</v>
      </c>
      <c r="G139" s="409">
        <v>60</v>
      </c>
      <c r="H139" s="532">
        <f t="shared" si="16"/>
        <v>240</v>
      </c>
      <c r="I139" s="196">
        <f t="shared" si="17"/>
        <v>66</v>
      </c>
      <c r="J139" s="363">
        <v>0</v>
      </c>
      <c r="K139" s="363">
        <v>0</v>
      </c>
      <c r="L139" s="197"/>
      <c r="M139" s="197"/>
      <c r="N139" s="197"/>
      <c r="O139" s="197"/>
      <c r="P139" s="197"/>
      <c r="Q139" s="180"/>
    </row>
    <row r="140" spans="1:17" s="50" customFormat="1" ht="25" customHeight="1">
      <c r="A140" s="407"/>
      <c r="B140" s="539" t="s">
        <v>712</v>
      </c>
      <c r="C140" s="409"/>
      <c r="D140" s="409"/>
      <c r="E140" s="409"/>
      <c r="F140" s="414"/>
      <c r="G140" s="409"/>
      <c r="H140" s="409"/>
      <c r="I140" s="412"/>
      <c r="J140" s="363"/>
      <c r="K140" s="363"/>
      <c r="L140" s="363"/>
      <c r="M140" s="363"/>
      <c r="N140" s="363"/>
      <c r="O140" s="363"/>
      <c r="P140" s="363"/>
      <c r="Q140" s="414"/>
    </row>
    <row r="141" spans="1:17" s="50" customFormat="1" ht="25" customHeight="1">
      <c r="A141" s="407"/>
      <c r="B141" s="437" t="s">
        <v>600</v>
      </c>
      <c r="C141" s="409">
        <v>4</v>
      </c>
      <c r="D141" s="409">
        <v>1</v>
      </c>
      <c r="E141" s="409">
        <v>3</v>
      </c>
      <c r="F141" s="180">
        <f t="shared" si="15"/>
        <v>257.40000000000003</v>
      </c>
      <c r="G141" s="409">
        <v>70</v>
      </c>
      <c r="H141" s="532">
        <f t="shared" si="16"/>
        <v>840</v>
      </c>
      <c r="I141" s="196">
        <f t="shared" si="17"/>
        <v>257.40000000000003</v>
      </c>
      <c r="J141" s="363"/>
      <c r="K141" s="363"/>
      <c r="L141" s="197"/>
      <c r="M141" s="197"/>
      <c r="N141" s="197"/>
      <c r="O141" s="197"/>
      <c r="P141" s="197"/>
      <c r="Q141" s="180"/>
    </row>
    <row r="142" spans="1:17" s="50" customFormat="1" ht="25" customHeight="1">
      <c r="A142" s="407"/>
      <c r="B142" s="539" t="s">
        <v>713</v>
      </c>
      <c r="C142" s="409"/>
      <c r="D142" s="409"/>
      <c r="E142" s="409"/>
      <c r="F142" s="414"/>
      <c r="G142" s="409"/>
      <c r="H142" s="409"/>
      <c r="I142" s="412"/>
      <c r="J142" s="363"/>
      <c r="K142" s="363"/>
      <c r="L142" s="363"/>
      <c r="M142" s="363"/>
      <c r="N142" s="363"/>
      <c r="O142" s="363"/>
      <c r="P142" s="363"/>
      <c r="Q142" s="414"/>
    </row>
    <row r="143" spans="1:17" s="50" customFormat="1" ht="25" customHeight="1">
      <c r="A143" s="407" t="s">
        <v>396</v>
      </c>
      <c r="B143" s="437" t="s">
        <v>601</v>
      </c>
      <c r="C143" s="409">
        <v>4</v>
      </c>
      <c r="D143" s="409">
        <v>1.1200000000000001</v>
      </c>
      <c r="E143" s="409">
        <v>3</v>
      </c>
      <c r="F143" s="180">
        <f t="shared" si="15"/>
        <v>257.40000000000003</v>
      </c>
      <c r="G143" s="409">
        <v>70</v>
      </c>
      <c r="H143" s="532">
        <f t="shared" si="16"/>
        <v>840</v>
      </c>
      <c r="I143" s="196">
        <f t="shared" si="17"/>
        <v>257.40000000000003</v>
      </c>
      <c r="J143" s="363">
        <v>0</v>
      </c>
      <c r="K143" s="363">
        <v>0</v>
      </c>
      <c r="L143" s="197"/>
      <c r="M143" s="197"/>
      <c r="N143" s="197"/>
      <c r="O143" s="197"/>
      <c r="P143" s="197"/>
      <c r="Q143" s="180"/>
    </row>
    <row r="144" spans="1:17" s="50" customFormat="1" ht="25" customHeight="1">
      <c r="A144" s="438" t="s">
        <v>146</v>
      </c>
      <c r="B144" s="439" t="s">
        <v>149</v>
      </c>
      <c r="C144" s="260"/>
      <c r="D144" s="260"/>
      <c r="E144" s="260"/>
      <c r="F144" s="200"/>
      <c r="G144" s="260"/>
      <c r="H144" s="532">
        <f t="shared" si="16"/>
        <v>0</v>
      </c>
      <c r="I144" s="404"/>
      <c r="J144" s="462"/>
      <c r="K144" s="462"/>
      <c r="L144" s="197"/>
      <c r="M144" s="197"/>
      <c r="N144" s="197"/>
      <c r="O144" s="197"/>
      <c r="P144" s="197"/>
      <c r="Q144" s="180"/>
    </row>
    <row r="145" spans="1:17" s="50" customFormat="1" ht="25" customHeight="1">
      <c r="A145" s="463" t="s">
        <v>230</v>
      </c>
      <c r="B145" s="440" t="s">
        <v>152</v>
      </c>
      <c r="C145" s="260"/>
      <c r="D145" s="260"/>
      <c r="E145" s="260"/>
      <c r="F145" s="180">
        <f t="shared" si="15"/>
        <v>0</v>
      </c>
      <c r="G145" s="260">
        <v>0</v>
      </c>
      <c r="H145" s="532">
        <f t="shared" si="16"/>
        <v>0</v>
      </c>
      <c r="I145" s="196">
        <f t="shared" si="17"/>
        <v>0</v>
      </c>
      <c r="J145" s="462"/>
      <c r="K145" s="462"/>
      <c r="L145" s="197"/>
      <c r="M145" s="197"/>
      <c r="N145" s="197"/>
      <c r="O145" s="197"/>
      <c r="P145" s="197"/>
      <c r="Q145" s="180"/>
    </row>
    <row r="146" spans="1:17" s="50" customFormat="1" ht="25" customHeight="1">
      <c r="A146" s="463" t="s">
        <v>231</v>
      </c>
      <c r="B146" s="440" t="s">
        <v>151</v>
      </c>
      <c r="C146" s="260"/>
      <c r="D146" s="260"/>
      <c r="E146" s="260"/>
      <c r="F146" s="200">
        <v>0</v>
      </c>
      <c r="G146" s="260">
        <v>0</v>
      </c>
      <c r="H146" s="532">
        <f t="shared" si="16"/>
        <v>0</v>
      </c>
      <c r="I146" s="196">
        <f t="shared" si="17"/>
        <v>0</v>
      </c>
      <c r="J146" s="462"/>
      <c r="K146" s="462"/>
      <c r="L146" s="197"/>
      <c r="M146" s="197"/>
      <c r="N146" s="197"/>
      <c r="O146" s="197"/>
      <c r="P146" s="197"/>
      <c r="Q146" s="180"/>
    </row>
    <row r="147" spans="1:17" s="50" customFormat="1" ht="25" customHeight="1">
      <c r="A147" s="463" t="s">
        <v>232</v>
      </c>
      <c r="B147" s="440" t="s">
        <v>153</v>
      </c>
      <c r="C147" s="260"/>
      <c r="D147" s="260"/>
      <c r="E147" s="260"/>
      <c r="F147" s="464">
        <f>I147</f>
        <v>0</v>
      </c>
      <c r="G147" s="260">
        <v>0</v>
      </c>
      <c r="H147" s="532">
        <f t="shared" si="16"/>
        <v>0</v>
      </c>
      <c r="I147" s="196">
        <f t="shared" si="17"/>
        <v>0</v>
      </c>
      <c r="J147" s="462"/>
      <c r="K147" s="462"/>
      <c r="L147" s="197"/>
      <c r="M147" s="197"/>
      <c r="N147" s="197"/>
      <c r="O147" s="197"/>
      <c r="P147" s="197"/>
      <c r="Q147" s="180"/>
    </row>
    <row r="148" spans="1:17" s="50" customFormat="1" ht="25" customHeight="1">
      <c r="A148" s="463" t="s">
        <v>233</v>
      </c>
      <c r="B148" s="440" t="s">
        <v>154</v>
      </c>
      <c r="C148" s="260">
        <v>4</v>
      </c>
      <c r="D148" s="260">
        <v>1.4</v>
      </c>
      <c r="E148" s="260">
        <v>6</v>
      </c>
      <c r="F148" s="464">
        <f>I148+J148+K148</f>
        <v>1200</v>
      </c>
      <c r="G148" s="260">
        <v>25</v>
      </c>
      <c r="H148" s="532">
        <f t="shared" si="16"/>
        <v>600</v>
      </c>
      <c r="I148" s="404">
        <f>H148*2</f>
        <v>1200</v>
      </c>
      <c r="J148" s="462"/>
      <c r="K148" s="462"/>
      <c r="L148" s="197"/>
      <c r="M148" s="197"/>
      <c r="N148" s="197"/>
      <c r="O148" s="197"/>
      <c r="P148" s="197"/>
      <c r="Q148" s="180"/>
    </row>
    <row r="149" spans="1:17" s="50" customFormat="1" ht="25" customHeight="1">
      <c r="A149" s="463" t="s">
        <v>234</v>
      </c>
      <c r="B149" s="440" t="s">
        <v>155</v>
      </c>
      <c r="C149" s="260">
        <v>0</v>
      </c>
      <c r="D149" s="260"/>
      <c r="E149" s="260">
        <v>0</v>
      </c>
      <c r="F149" s="464">
        <f>I149+J149+K149</f>
        <v>0</v>
      </c>
      <c r="G149" s="260">
        <v>0</v>
      </c>
      <c r="H149" s="532">
        <f t="shared" si="16"/>
        <v>0</v>
      </c>
      <c r="I149" s="196">
        <f t="shared" si="17"/>
        <v>0</v>
      </c>
      <c r="J149" s="462"/>
      <c r="K149" s="462"/>
      <c r="L149" s="197"/>
      <c r="M149" s="197"/>
      <c r="N149" s="197"/>
      <c r="O149" s="197"/>
      <c r="P149" s="197"/>
      <c r="Q149" s="180"/>
    </row>
    <row r="150" spans="1:17" s="50" customFormat="1" ht="25" customHeight="1">
      <c r="A150" s="465"/>
      <c r="B150" s="466" t="s">
        <v>375</v>
      </c>
      <c r="C150" s="430">
        <f t="shared" ref="C150:K150" si="18">SUM(C111:C149)</f>
        <v>74</v>
      </c>
      <c r="D150" s="430">
        <f t="shared" si="18"/>
        <v>28.22</v>
      </c>
      <c r="E150" s="430">
        <f t="shared" si="18"/>
        <v>86</v>
      </c>
      <c r="F150" s="430">
        <f t="shared" si="18"/>
        <v>5273.85</v>
      </c>
      <c r="G150" s="430">
        <f t="shared" si="18"/>
        <v>1395</v>
      </c>
      <c r="H150" s="430">
        <f t="shared" si="18"/>
        <v>12760</v>
      </c>
      <c r="I150" s="430">
        <f t="shared" si="18"/>
        <v>5174.8500000000004</v>
      </c>
      <c r="J150" s="430">
        <f t="shared" si="18"/>
        <v>99</v>
      </c>
      <c r="K150" s="430">
        <f t="shared" si="18"/>
        <v>0</v>
      </c>
      <c r="L150" s="197"/>
      <c r="M150" s="197"/>
      <c r="N150" s="197"/>
      <c r="O150" s="197"/>
      <c r="P150" s="197"/>
      <c r="Q150" s="180"/>
    </row>
    <row r="151" spans="1:17" s="50" customFormat="1" ht="25" customHeight="1">
      <c r="A151" s="467">
        <v>2</v>
      </c>
      <c r="B151" s="467" t="s">
        <v>494</v>
      </c>
      <c r="C151" s="260"/>
      <c r="D151" s="260"/>
      <c r="E151" s="260"/>
      <c r="F151" s="196"/>
      <c r="G151" s="260"/>
      <c r="H151" s="532"/>
      <c r="I151" s="532"/>
      <c r="J151" s="462"/>
      <c r="K151" s="462"/>
      <c r="L151" s="197"/>
      <c r="M151" s="197"/>
      <c r="N151" s="197"/>
      <c r="O151" s="197"/>
      <c r="P151" s="197"/>
      <c r="Q151" s="1886"/>
    </row>
    <row r="152" spans="1:17" s="50" customFormat="1" ht="25" customHeight="1">
      <c r="A152" s="369" t="s">
        <v>145</v>
      </c>
      <c r="B152" s="468" t="s">
        <v>163</v>
      </c>
      <c r="C152" s="260"/>
      <c r="D152" s="260"/>
      <c r="E152" s="260"/>
      <c r="F152" s="196"/>
      <c r="G152" s="260"/>
      <c r="H152" s="532"/>
      <c r="I152" s="532"/>
      <c r="J152" s="462"/>
      <c r="K152" s="462"/>
      <c r="L152" s="197"/>
      <c r="M152" s="197"/>
      <c r="N152" s="197"/>
      <c r="O152" s="197"/>
      <c r="P152" s="197"/>
      <c r="Q152" s="1886"/>
    </row>
    <row r="153" spans="1:17" s="50" customFormat="1" ht="25" customHeight="1">
      <c r="A153" s="440" t="s">
        <v>224</v>
      </c>
      <c r="B153" s="259" t="s">
        <v>602</v>
      </c>
      <c r="C153" s="260">
        <v>3</v>
      </c>
      <c r="D153" s="260">
        <v>1</v>
      </c>
      <c r="E153" s="260">
        <v>1</v>
      </c>
      <c r="F153" s="180">
        <f t="shared" ref="F153:F159" si="19">I153+J153+K153</f>
        <v>74.25</v>
      </c>
      <c r="G153" s="409">
        <v>13</v>
      </c>
      <c r="H153" s="532">
        <f t="shared" si="16"/>
        <v>39</v>
      </c>
      <c r="I153" s="196">
        <f>C153*E153*16.5*1.5</f>
        <v>74.25</v>
      </c>
      <c r="J153" s="462"/>
      <c r="K153" s="462"/>
      <c r="L153" s="176"/>
      <c r="M153" s="197"/>
      <c r="N153" s="197"/>
      <c r="O153" s="197"/>
      <c r="P153" s="197"/>
      <c r="Q153" s="1886"/>
    </row>
    <row r="154" spans="1:17" s="50" customFormat="1" ht="25" customHeight="1">
      <c r="A154" s="440" t="s">
        <v>225</v>
      </c>
      <c r="B154" s="259" t="s">
        <v>603</v>
      </c>
      <c r="C154" s="260">
        <v>3</v>
      </c>
      <c r="D154" s="260">
        <v>1</v>
      </c>
      <c r="E154" s="260">
        <v>1</v>
      </c>
      <c r="F154" s="180">
        <f t="shared" si="19"/>
        <v>74.25</v>
      </c>
      <c r="G154" s="260">
        <v>13</v>
      </c>
      <c r="H154" s="532">
        <f t="shared" si="16"/>
        <v>39</v>
      </c>
      <c r="I154" s="196">
        <f>C154*E154*16.5*1.5</f>
        <v>74.25</v>
      </c>
      <c r="J154" s="462"/>
      <c r="K154" s="462"/>
      <c r="L154" s="176"/>
      <c r="M154" s="197"/>
      <c r="N154" s="197"/>
      <c r="O154" s="197"/>
      <c r="P154" s="197"/>
      <c r="Q154" s="1886"/>
    </row>
    <row r="155" spans="1:17" s="50" customFormat="1" ht="25" customHeight="1">
      <c r="A155" s="440" t="s">
        <v>226</v>
      </c>
      <c r="B155" s="259" t="s">
        <v>604</v>
      </c>
      <c r="C155" s="260">
        <v>3</v>
      </c>
      <c r="D155" s="260">
        <v>1</v>
      </c>
      <c r="E155" s="260">
        <v>1</v>
      </c>
      <c r="F155" s="180">
        <f t="shared" si="19"/>
        <v>74.25</v>
      </c>
      <c r="G155" s="260">
        <v>13</v>
      </c>
      <c r="H155" s="532">
        <f t="shared" si="16"/>
        <v>39</v>
      </c>
      <c r="I155" s="196">
        <f>C155*E155*16.5*1.5</f>
        <v>74.25</v>
      </c>
      <c r="J155" s="462"/>
      <c r="K155" s="462"/>
      <c r="L155" s="176"/>
      <c r="M155" s="197"/>
      <c r="N155" s="197"/>
      <c r="O155" s="197"/>
      <c r="P155" s="197"/>
      <c r="Q155" s="1886"/>
    </row>
    <row r="156" spans="1:17" s="50" customFormat="1" ht="25" customHeight="1">
      <c r="A156" s="440" t="s">
        <v>227</v>
      </c>
      <c r="B156" s="259" t="s">
        <v>605</v>
      </c>
      <c r="C156" s="260">
        <v>3</v>
      </c>
      <c r="D156" s="260">
        <v>1</v>
      </c>
      <c r="E156" s="260">
        <v>1</v>
      </c>
      <c r="F156" s="180">
        <f t="shared" si="19"/>
        <v>74.25</v>
      </c>
      <c r="G156" s="260">
        <v>13</v>
      </c>
      <c r="H156" s="532">
        <f t="shared" si="16"/>
        <v>39</v>
      </c>
      <c r="I156" s="196">
        <f>C156*E156*16.5*1.5</f>
        <v>74.25</v>
      </c>
      <c r="J156" s="462"/>
      <c r="K156" s="462"/>
      <c r="L156" s="176"/>
      <c r="M156" s="197"/>
      <c r="N156" s="197"/>
      <c r="O156" s="197"/>
      <c r="P156" s="197"/>
      <c r="Q156" s="1886"/>
    </row>
    <row r="157" spans="1:17" s="50" customFormat="1" ht="25" customHeight="1">
      <c r="A157" s="440" t="s">
        <v>228</v>
      </c>
      <c r="B157" s="440" t="s">
        <v>493</v>
      </c>
      <c r="C157" s="260">
        <v>3</v>
      </c>
      <c r="D157" s="260">
        <v>1</v>
      </c>
      <c r="E157" s="260">
        <v>1</v>
      </c>
      <c r="F157" s="180">
        <f t="shared" si="19"/>
        <v>74.25</v>
      </c>
      <c r="G157" s="260">
        <v>13</v>
      </c>
      <c r="H157" s="532">
        <f t="shared" si="16"/>
        <v>39</v>
      </c>
      <c r="I157" s="196">
        <f>C157*E157*16.5*1.5</f>
        <v>74.25</v>
      </c>
      <c r="J157" s="462"/>
      <c r="K157" s="462"/>
      <c r="L157" s="176"/>
      <c r="M157" s="197"/>
      <c r="N157" s="197"/>
      <c r="O157" s="197"/>
      <c r="P157" s="197"/>
      <c r="Q157" s="1886"/>
    </row>
    <row r="158" spans="1:17" s="50" customFormat="1" ht="25" customHeight="1">
      <c r="A158" s="440" t="s">
        <v>229</v>
      </c>
      <c r="B158" s="469" t="s">
        <v>606</v>
      </c>
      <c r="C158" s="260">
        <v>3</v>
      </c>
      <c r="D158" s="260">
        <v>1</v>
      </c>
      <c r="E158" s="260">
        <v>1</v>
      </c>
      <c r="F158" s="180">
        <f t="shared" si="19"/>
        <v>74.25</v>
      </c>
      <c r="G158" s="260">
        <v>13</v>
      </c>
      <c r="H158" s="532">
        <f t="shared" si="16"/>
        <v>39</v>
      </c>
      <c r="I158" s="404">
        <v>0</v>
      </c>
      <c r="J158" s="462"/>
      <c r="K158" s="196">
        <f>C158*E158*16.5*1.5</f>
        <v>74.25</v>
      </c>
      <c r="L158" s="197"/>
      <c r="M158" s="197"/>
      <c r="N158" s="197"/>
      <c r="O158" s="197"/>
      <c r="P158" s="197"/>
      <c r="Q158" s="180"/>
    </row>
    <row r="159" spans="1:17" s="50" customFormat="1" ht="25" customHeight="1">
      <c r="A159" s="463" t="s">
        <v>280</v>
      </c>
      <c r="B159" s="469" t="s">
        <v>607</v>
      </c>
      <c r="C159" s="260">
        <v>3</v>
      </c>
      <c r="D159" s="260">
        <v>1</v>
      </c>
      <c r="E159" s="260">
        <v>1</v>
      </c>
      <c r="F159" s="180">
        <f t="shared" si="19"/>
        <v>74.25</v>
      </c>
      <c r="G159" s="260">
        <v>13</v>
      </c>
      <c r="H159" s="532">
        <f t="shared" si="16"/>
        <v>39</v>
      </c>
      <c r="I159" s="404">
        <v>0</v>
      </c>
      <c r="J159" s="462"/>
      <c r="K159" s="196">
        <f>C159*E159*16.5*1.5</f>
        <v>74.25</v>
      </c>
      <c r="L159" s="197"/>
      <c r="M159" s="197"/>
      <c r="N159" s="197"/>
      <c r="O159" s="197"/>
      <c r="P159" s="197"/>
      <c r="Q159" s="180"/>
    </row>
    <row r="160" spans="1:17" s="50" customFormat="1" ht="25" customHeight="1">
      <c r="A160" s="438" t="s">
        <v>146</v>
      </c>
      <c r="B160" s="439" t="s">
        <v>465</v>
      </c>
      <c r="C160" s="260"/>
      <c r="D160" s="260"/>
      <c r="E160" s="260"/>
      <c r="F160" s="180"/>
      <c r="G160" s="260"/>
      <c r="H160" s="532"/>
      <c r="I160" s="196"/>
      <c r="J160" s="361"/>
      <c r="K160" s="462"/>
      <c r="L160" s="197"/>
      <c r="M160" s="197"/>
      <c r="N160" s="197"/>
      <c r="O160" s="197"/>
      <c r="P160" s="197"/>
      <c r="Q160" s="180"/>
    </row>
    <row r="161" spans="1:17" s="50" customFormat="1" ht="25" customHeight="1">
      <c r="A161" s="438"/>
      <c r="B161" s="440" t="s">
        <v>608</v>
      </c>
      <c r="C161" s="260">
        <v>15</v>
      </c>
      <c r="D161" s="260">
        <v>1</v>
      </c>
      <c r="E161" s="260">
        <v>1</v>
      </c>
      <c r="F161" s="180">
        <f t="shared" ref="F161:F183" si="20">I161+J161+K161</f>
        <v>210</v>
      </c>
      <c r="G161" s="260">
        <v>6</v>
      </c>
      <c r="H161" s="532">
        <f>C161*E161*G161</f>
        <v>90</v>
      </c>
      <c r="I161" s="196">
        <f>6*35</f>
        <v>210</v>
      </c>
      <c r="J161" s="361"/>
      <c r="K161" s="462"/>
      <c r="L161" s="197"/>
      <c r="M161" s="197"/>
      <c r="N161" s="197"/>
      <c r="O161" s="197"/>
      <c r="P161" s="197"/>
      <c r="Q161" s="180"/>
    </row>
    <row r="162" spans="1:17" s="50" customFormat="1" ht="25" customHeight="1">
      <c r="A162" s="428"/>
      <c r="B162" s="429" t="s">
        <v>375</v>
      </c>
      <c r="C162" s="430">
        <f t="shared" ref="C162:K162" si="21">SUM(C153:C161)</f>
        <v>36</v>
      </c>
      <c r="D162" s="430">
        <f t="shared" si="21"/>
        <v>8</v>
      </c>
      <c r="E162" s="430">
        <f t="shared" si="21"/>
        <v>8</v>
      </c>
      <c r="F162" s="430">
        <f t="shared" si="21"/>
        <v>729.75</v>
      </c>
      <c r="G162" s="430">
        <f t="shared" si="21"/>
        <v>97</v>
      </c>
      <c r="H162" s="430">
        <f t="shared" si="21"/>
        <v>363</v>
      </c>
      <c r="I162" s="430">
        <f t="shared" si="21"/>
        <v>581.25</v>
      </c>
      <c r="J162" s="430">
        <f t="shared" si="21"/>
        <v>0</v>
      </c>
      <c r="K162" s="430">
        <f t="shared" si="21"/>
        <v>148.5</v>
      </c>
      <c r="L162" s="197"/>
      <c r="M162" s="197"/>
      <c r="N162" s="197"/>
      <c r="O162" s="197"/>
      <c r="P162" s="197"/>
      <c r="Q162" s="180"/>
    </row>
    <row r="163" spans="1:17" s="50" customFormat="1" ht="25" customHeight="1">
      <c r="A163" s="467">
        <v>1</v>
      </c>
      <c r="B163" s="468" t="s">
        <v>223</v>
      </c>
      <c r="C163" s="260"/>
      <c r="D163" s="260"/>
      <c r="E163" s="260"/>
      <c r="F163" s="180"/>
      <c r="G163" s="260"/>
      <c r="H163" s="532"/>
      <c r="I163" s="196"/>
      <c r="J163" s="363"/>
      <c r="K163" s="363"/>
      <c r="L163" s="197"/>
      <c r="M163" s="197"/>
      <c r="N163" s="197"/>
      <c r="O163" s="197"/>
      <c r="P163" s="197"/>
      <c r="Q163" s="180"/>
    </row>
    <row r="164" spans="1:17" s="50" customFormat="1" ht="25" customHeight="1">
      <c r="A164" s="467" t="s">
        <v>376</v>
      </c>
      <c r="B164" s="468" t="s">
        <v>161</v>
      </c>
      <c r="C164" s="260"/>
      <c r="D164" s="260"/>
      <c r="E164" s="260"/>
      <c r="F164" s="180"/>
      <c r="G164" s="260"/>
      <c r="H164" s="532"/>
      <c r="I164" s="196"/>
      <c r="J164" s="363"/>
      <c r="K164" s="363"/>
      <c r="L164" s="197"/>
      <c r="M164" s="197"/>
      <c r="N164" s="197"/>
      <c r="O164" s="197"/>
      <c r="P164" s="197"/>
      <c r="Q164" s="180"/>
    </row>
    <row r="165" spans="1:17" s="50" customFormat="1" ht="25" customHeight="1">
      <c r="A165" s="467"/>
      <c r="B165" s="468" t="s">
        <v>705</v>
      </c>
      <c r="C165" s="260"/>
      <c r="D165" s="260"/>
      <c r="E165" s="260"/>
      <c r="F165" s="414"/>
      <c r="G165" s="260"/>
      <c r="H165" s="409"/>
      <c r="I165" s="412"/>
      <c r="J165" s="363"/>
      <c r="K165" s="363"/>
      <c r="L165" s="363"/>
      <c r="M165" s="363"/>
      <c r="N165" s="363"/>
      <c r="O165" s="363"/>
      <c r="P165" s="363"/>
      <c r="Q165" s="414"/>
    </row>
    <row r="166" spans="1:17" s="50" customFormat="1" ht="25" customHeight="1">
      <c r="A166" s="463" t="s">
        <v>226</v>
      </c>
      <c r="B166" s="442" t="s">
        <v>609</v>
      </c>
      <c r="C166" s="260">
        <v>3</v>
      </c>
      <c r="D166" s="260">
        <v>1</v>
      </c>
      <c r="E166" s="260">
        <v>7</v>
      </c>
      <c r="F166" s="180">
        <f t="shared" si="20"/>
        <v>450.45</v>
      </c>
      <c r="G166" s="260">
        <v>70</v>
      </c>
      <c r="H166" s="532">
        <f>C166*E166*G166</f>
        <v>1470</v>
      </c>
      <c r="I166" s="196">
        <f>IF(G166&lt;70, C166*E166*16.5*1, C166*E166*16.5*1.3)</f>
        <v>450.45</v>
      </c>
      <c r="J166" s="363"/>
      <c r="K166" s="363"/>
      <c r="L166" s="197"/>
      <c r="M166" s="197"/>
      <c r="N166" s="197"/>
      <c r="O166" s="197"/>
      <c r="P166" s="197"/>
      <c r="Q166" s="180"/>
    </row>
    <row r="167" spans="1:17" s="50" customFormat="1" ht="25" customHeight="1">
      <c r="A167" s="463"/>
      <c r="B167" s="468" t="s">
        <v>707</v>
      </c>
      <c r="C167" s="260"/>
      <c r="D167" s="260"/>
      <c r="E167" s="260"/>
      <c r="F167" s="414"/>
      <c r="G167" s="260"/>
      <c r="H167" s="409"/>
      <c r="I167" s="412"/>
      <c r="J167" s="363"/>
      <c r="K167" s="363"/>
      <c r="L167" s="363"/>
      <c r="M167" s="363"/>
      <c r="N167" s="363"/>
      <c r="O167" s="363"/>
      <c r="P167" s="363"/>
      <c r="Q167" s="414"/>
    </row>
    <row r="168" spans="1:17" s="50" customFormat="1" ht="25" customHeight="1">
      <c r="A168" s="463" t="s">
        <v>227</v>
      </c>
      <c r="B168" s="442" t="s">
        <v>610</v>
      </c>
      <c r="C168" s="260">
        <v>3</v>
      </c>
      <c r="D168" s="260">
        <v>1</v>
      </c>
      <c r="E168" s="260">
        <v>7</v>
      </c>
      <c r="F168" s="180">
        <f t="shared" si="20"/>
        <v>450.45</v>
      </c>
      <c r="G168" s="260">
        <v>70</v>
      </c>
      <c r="H168" s="532">
        <f t="shared" ref="H168:H183" si="22">C168*E168*G168</f>
        <v>1470</v>
      </c>
      <c r="I168" s="196">
        <f t="shared" ref="I168:I183" si="23">IF(G168&lt;70, C168*E168*16.5*1, C168*E168*16.5*1.3)</f>
        <v>450.45</v>
      </c>
      <c r="J168" s="363"/>
      <c r="K168" s="363"/>
      <c r="L168" s="197"/>
      <c r="M168" s="197"/>
      <c r="N168" s="197"/>
      <c r="O168" s="197"/>
      <c r="P168" s="197"/>
      <c r="Q168" s="180"/>
    </row>
    <row r="169" spans="1:17" s="50" customFormat="1" ht="25" customHeight="1">
      <c r="A169" s="463"/>
      <c r="B169" s="468" t="s">
        <v>708</v>
      </c>
      <c r="C169" s="260"/>
      <c r="D169" s="260"/>
      <c r="E169" s="260"/>
      <c r="F169" s="414"/>
      <c r="G169" s="260"/>
      <c r="H169" s="409"/>
      <c r="I169" s="412"/>
      <c r="J169" s="363"/>
      <c r="K169" s="363"/>
      <c r="L169" s="363"/>
      <c r="M169" s="363"/>
      <c r="N169" s="363"/>
      <c r="O169" s="363"/>
      <c r="P169" s="363"/>
      <c r="Q169" s="414"/>
    </row>
    <row r="170" spans="1:17" s="50" customFormat="1" ht="25" customHeight="1">
      <c r="A170" s="463" t="s">
        <v>228</v>
      </c>
      <c r="B170" s="442" t="s">
        <v>611</v>
      </c>
      <c r="C170" s="260">
        <v>2</v>
      </c>
      <c r="D170" s="260">
        <v>1</v>
      </c>
      <c r="E170" s="260">
        <v>10</v>
      </c>
      <c r="F170" s="180">
        <f t="shared" si="20"/>
        <v>429</v>
      </c>
      <c r="G170" s="260">
        <v>70</v>
      </c>
      <c r="H170" s="532">
        <f t="shared" si="22"/>
        <v>1400</v>
      </c>
      <c r="I170" s="196">
        <f t="shared" si="23"/>
        <v>429</v>
      </c>
      <c r="J170" s="363"/>
      <c r="K170" s="363"/>
      <c r="L170" s="197"/>
      <c r="M170" s="197"/>
      <c r="N170" s="197"/>
      <c r="O170" s="197"/>
      <c r="P170" s="197"/>
      <c r="Q170" s="180"/>
    </row>
    <row r="171" spans="1:17" s="50" customFormat="1" ht="25" customHeight="1">
      <c r="A171" s="463"/>
      <c r="B171" s="468" t="s">
        <v>709</v>
      </c>
      <c r="C171" s="260"/>
      <c r="D171" s="260"/>
      <c r="E171" s="260"/>
      <c r="F171" s="414"/>
      <c r="G171" s="260"/>
      <c r="H171" s="409"/>
      <c r="I171" s="412"/>
      <c r="J171" s="363"/>
      <c r="K171" s="363"/>
      <c r="L171" s="363"/>
      <c r="M171" s="363"/>
      <c r="N171" s="363"/>
      <c r="O171" s="363"/>
      <c r="P171" s="363"/>
      <c r="Q171" s="414"/>
    </row>
    <row r="172" spans="1:17" s="50" customFormat="1" ht="25" customHeight="1">
      <c r="A172" s="463" t="s">
        <v>229</v>
      </c>
      <c r="B172" s="442" t="s">
        <v>612</v>
      </c>
      <c r="C172" s="260">
        <v>3</v>
      </c>
      <c r="D172" s="260">
        <v>1</v>
      </c>
      <c r="E172" s="260">
        <v>16</v>
      </c>
      <c r="F172" s="180">
        <f t="shared" si="20"/>
        <v>1029.6000000000001</v>
      </c>
      <c r="G172" s="260">
        <v>70</v>
      </c>
      <c r="H172" s="532">
        <f t="shared" si="22"/>
        <v>3360</v>
      </c>
      <c r="I172" s="196">
        <f t="shared" si="23"/>
        <v>1029.6000000000001</v>
      </c>
      <c r="J172" s="363"/>
      <c r="K172" s="363"/>
      <c r="L172" s="197"/>
      <c r="M172" s="197"/>
      <c r="N172" s="197"/>
      <c r="O172" s="197"/>
      <c r="P172" s="197"/>
      <c r="Q172" s="180"/>
    </row>
    <row r="173" spans="1:17" s="50" customFormat="1" ht="25" customHeight="1">
      <c r="A173" s="463"/>
      <c r="B173" s="468" t="s">
        <v>715</v>
      </c>
      <c r="C173" s="260"/>
      <c r="D173" s="260"/>
      <c r="E173" s="260"/>
      <c r="F173" s="414"/>
      <c r="G173" s="260"/>
      <c r="H173" s="409"/>
      <c r="I173" s="412"/>
      <c r="J173" s="363"/>
      <c r="K173" s="363"/>
      <c r="L173" s="363"/>
      <c r="M173" s="363"/>
      <c r="N173" s="363"/>
      <c r="O173" s="363"/>
      <c r="P173" s="363"/>
      <c r="Q173" s="414"/>
    </row>
    <row r="174" spans="1:17" s="50" customFormat="1" ht="25" customHeight="1">
      <c r="A174" s="463" t="s">
        <v>280</v>
      </c>
      <c r="B174" s="442" t="s">
        <v>613</v>
      </c>
      <c r="C174" s="260">
        <v>2</v>
      </c>
      <c r="D174" s="260">
        <v>1</v>
      </c>
      <c r="E174" s="260">
        <v>10</v>
      </c>
      <c r="F174" s="180">
        <f t="shared" si="20"/>
        <v>429</v>
      </c>
      <c r="G174" s="260">
        <v>80</v>
      </c>
      <c r="H174" s="532">
        <f t="shared" si="22"/>
        <v>1600</v>
      </c>
      <c r="I174" s="196">
        <f t="shared" si="23"/>
        <v>429</v>
      </c>
      <c r="J174" s="363"/>
      <c r="K174" s="363"/>
      <c r="L174" s="197"/>
      <c r="M174" s="197"/>
      <c r="N174" s="197"/>
      <c r="O174" s="197"/>
      <c r="P174" s="197"/>
      <c r="Q174" s="180"/>
    </row>
    <row r="175" spans="1:17" s="50" customFormat="1" ht="25" customHeight="1">
      <c r="A175" s="463"/>
      <c r="B175" s="468" t="s">
        <v>714</v>
      </c>
      <c r="C175" s="260"/>
      <c r="D175" s="260"/>
      <c r="E175" s="260"/>
      <c r="F175" s="414"/>
      <c r="G175" s="260"/>
      <c r="H175" s="409"/>
      <c r="I175" s="412"/>
      <c r="J175" s="363"/>
      <c r="K175" s="363"/>
      <c r="L175" s="363"/>
      <c r="M175" s="363"/>
      <c r="N175" s="363"/>
      <c r="O175" s="363"/>
      <c r="P175" s="363"/>
      <c r="Q175" s="414"/>
    </row>
    <row r="176" spans="1:17" s="50" customFormat="1" ht="25" customHeight="1">
      <c r="A176" s="463" t="s">
        <v>282</v>
      </c>
      <c r="B176" s="469" t="s">
        <v>614</v>
      </c>
      <c r="C176" s="260">
        <v>3</v>
      </c>
      <c r="D176" s="260">
        <v>1</v>
      </c>
      <c r="E176" s="260">
        <v>10</v>
      </c>
      <c r="F176" s="180">
        <f t="shared" si="20"/>
        <v>643.5</v>
      </c>
      <c r="G176" s="260">
        <v>70</v>
      </c>
      <c r="H176" s="532">
        <f t="shared" si="22"/>
        <v>2100</v>
      </c>
      <c r="I176" s="196">
        <f t="shared" si="23"/>
        <v>643.5</v>
      </c>
      <c r="J176" s="363"/>
      <c r="K176" s="363"/>
      <c r="L176" s="197"/>
      <c r="M176" s="197"/>
      <c r="N176" s="197"/>
      <c r="O176" s="197"/>
      <c r="P176" s="197"/>
      <c r="Q176" s="180"/>
    </row>
    <row r="177" spans="1:17" s="50" customFormat="1" ht="25" customHeight="1">
      <c r="A177" s="463"/>
      <c r="B177" s="542" t="s">
        <v>711</v>
      </c>
      <c r="C177" s="260"/>
      <c r="D177" s="260"/>
      <c r="E177" s="260"/>
      <c r="F177" s="414"/>
      <c r="G177" s="260"/>
      <c r="H177" s="409"/>
      <c r="I177" s="412"/>
      <c r="J177" s="363"/>
      <c r="K177" s="363"/>
      <c r="L177" s="363"/>
      <c r="M177" s="363"/>
      <c r="N177" s="363"/>
      <c r="O177" s="363"/>
      <c r="P177" s="363"/>
      <c r="Q177" s="414"/>
    </row>
    <row r="178" spans="1:17" s="50" customFormat="1" ht="25" customHeight="1">
      <c r="A178" s="463" t="s">
        <v>284</v>
      </c>
      <c r="B178" s="440" t="s">
        <v>615</v>
      </c>
      <c r="C178" s="260">
        <v>3</v>
      </c>
      <c r="D178" s="260">
        <v>1</v>
      </c>
      <c r="E178" s="260">
        <v>10</v>
      </c>
      <c r="F178" s="180">
        <f t="shared" si="20"/>
        <v>643.5</v>
      </c>
      <c r="G178" s="260">
        <v>70</v>
      </c>
      <c r="H178" s="532">
        <f t="shared" si="22"/>
        <v>2100</v>
      </c>
      <c r="I178" s="196">
        <f t="shared" si="23"/>
        <v>643.5</v>
      </c>
      <c r="J178" s="363"/>
      <c r="K178" s="363"/>
      <c r="L178" s="197"/>
      <c r="M178" s="197"/>
      <c r="N178" s="197"/>
      <c r="O178" s="197"/>
      <c r="P178" s="197"/>
      <c r="Q178" s="180"/>
    </row>
    <row r="179" spans="1:17" s="50" customFormat="1" ht="25" customHeight="1">
      <c r="A179" s="463" t="s">
        <v>287</v>
      </c>
      <c r="B179" s="440" t="s">
        <v>383</v>
      </c>
      <c r="C179" s="260">
        <v>3</v>
      </c>
      <c r="D179" s="260">
        <v>1</v>
      </c>
      <c r="E179" s="260">
        <v>16</v>
      </c>
      <c r="F179" s="180">
        <f t="shared" si="20"/>
        <v>1029.6000000000001</v>
      </c>
      <c r="G179" s="260">
        <v>70</v>
      </c>
      <c r="H179" s="532">
        <f t="shared" si="22"/>
        <v>3360</v>
      </c>
      <c r="I179" s="196">
        <f t="shared" si="23"/>
        <v>1029.6000000000001</v>
      </c>
      <c r="J179" s="363"/>
      <c r="K179" s="363"/>
      <c r="L179" s="197"/>
      <c r="M179" s="197"/>
      <c r="N179" s="197"/>
      <c r="O179" s="197"/>
      <c r="P179" s="197"/>
      <c r="Q179" s="180"/>
    </row>
    <row r="180" spans="1:17" s="50" customFormat="1" ht="25" customHeight="1">
      <c r="A180" s="463"/>
      <c r="B180" s="439" t="s">
        <v>706</v>
      </c>
      <c r="C180" s="260"/>
      <c r="D180" s="260"/>
      <c r="E180" s="260"/>
      <c r="F180" s="414"/>
      <c r="G180" s="260"/>
      <c r="H180" s="409"/>
      <c r="I180" s="412"/>
      <c r="J180" s="363"/>
      <c r="K180" s="363"/>
      <c r="L180" s="363"/>
      <c r="M180" s="363"/>
      <c r="N180" s="363"/>
      <c r="O180" s="363"/>
      <c r="P180" s="363"/>
      <c r="Q180" s="414"/>
    </row>
    <row r="181" spans="1:17" s="50" customFormat="1" ht="25" customHeight="1">
      <c r="A181" s="463" t="s">
        <v>288</v>
      </c>
      <c r="B181" s="440" t="s">
        <v>616</v>
      </c>
      <c r="C181" s="260">
        <v>4</v>
      </c>
      <c r="D181" s="260">
        <v>1</v>
      </c>
      <c r="E181" s="260">
        <v>10</v>
      </c>
      <c r="F181" s="180">
        <f t="shared" si="20"/>
        <v>858</v>
      </c>
      <c r="G181" s="260">
        <v>70</v>
      </c>
      <c r="H181" s="532">
        <f t="shared" si="22"/>
        <v>2800</v>
      </c>
      <c r="I181" s="196">
        <f t="shared" si="23"/>
        <v>858</v>
      </c>
      <c r="J181" s="363"/>
      <c r="K181" s="363"/>
      <c r="L181" s="197"/>
      <c r="M181" s="197"/>
      <c r="N181" s="197"/>
      <c r="O181" s="197"/>
      <c r="P181" s="197"/>
      <c r="Q181" s="180"/>
    </row>
    <row r="182" spans="1:17" s="50" customFormat="1" ht="25" customHeight="1">
      <c r="A182" s="463" t="s">
        <v>289</v>
      </c>
      <c r="B182" s="440" t="s">
        <v>617</v>
      </c>
      <c r="C182" s="260">
        <v>4</v>
      </c>
      <c r="D182" s="260">
        <v>1</v>
      </c>
      <c r="E182" s="260">
        <v>8</v>
      </c>
      <c r="F182" s="180">
        <f t="shared" si="20"/>
        <v>686.4</v>
      </c>
      <c r="G182" s="260">
        <v>70</v>
      </c>
      <c r="H182" s="532">
        <f t="shared" si="22"/>
        <v>2240</v>
      </c>
      <c r="I182" s="196">
        <f t="shared" si="23"/>
        <v>686.4</v>
      </c>
      <c r="J182" s="363"/>
      <c r="K182" s="363"/>
      <c r="L182" s="197"/>
      <c r="M182" s="197"/>
      <c r="N182" s="197"/>
      <c r="O182" s="197"/>
      <c r="P182" s="197"/>
      <c r="Q182" s="180"/>
    </row>
    <row r="183" spans="1:17" s="50" customFormat="1" ht="25" customHeight="1">
      <c r="A183" s="463" t="s">
        <v>290</v>
      </c>
      <c r="B183" s="440" t="s">
        <v>618</v>
      </c>
      <c r="C183" s="260">
        <v>4</v>
      </c>
      <c r="D183" s="260">
        <v>1</v>
      </c>
      <c r="E183" s="260">
        <v>8</v>
      </c>
      <c r="F183" s="180">
        <f t="shared" si="20"/>
        <v>686.4</v>
      </c>
      <c r="G183" s="260">
        <v>70</v>
      </c>
      <c r="H183" s="532">
        <f t="shared" si="22"/>
        <v>2240</v>
      </c>
      <c r="I183" s="196">
        <f t="shared" si="23"/>
        <v>686.4</v>
      </c>
      <c r="J183" s="363"/>
      <c r="K183" s="363"/>
      <c r="L183" s="197"/>
      <c r="M183" s="197"/>
      <c r="N183" s="197"/>
      <c r="O183" s="197"/>
      <c r="P183" s="197"/>
      <c r="Q183" s="180"/>
    </row>
    <row r="184" spans="1:17" s="50" customFormat="1" ht="25" customHeight="1">
      <c r="A184" s="377"/>
      <c r="B184" s="378" t="s">
        <v>387</v>
      </c>
      <c r="C184" s="379">
        <f>SUM(C166:C183)</f>
        <v>34</v>
      </c>
      <c r="D184" s="379">
        <f t="shared" ref="D184:K184" si="24">SUM(D166:D183)</f>
        <v>11</v>
      </c>
      <c r="E184" s="379">
        <f t="shared" si="24"/>
        <v>112</v>
      </c>
      <c r="F184" s="379">
        <f t="shared" si="24"/>
        <v>7335.9</v>
      </c>
      <c r="G184" s="379">
        <f t="shared" si="24"/>
        <v>780</v>
      </c>
      <c r="H184" s="379">
        <f t="shared" si="24"/>
        <v>24140</v>
      </c>
      <c r="I184" s="379">
        <f t="shared" si="24"/>
        <v>7335.9</v>
      </c>
      <c r="J184" s="379">
        <f t="shared" si="24"/>
        <v>0</v>
      </c>
      <c r="K184" s="379">
        <f t="shared" si="24"/>
        <v>0</v>
      </c>
      <c r="L184" s="197"/>
      <c r="M184" s="197"/>
      <c r="N184" s="197"/>
      <c r="O184" s="197"/>
      <c r="P184" s="197"/>
      <c r="Q184" s="180"/>
    </row>
    <row r="185" spans="1:17" s="50" customFormat="1" ht="25" customHeight="1">
      <c r="A185" s="202"/>
      <c r="B185" s="209" t="s">
        <v>388</v>
      </c>
      <c r="C185" s="210">
        <f>C150+C162+C184</f>
        <v>144</v>
      </c>
      <c r="D185" s="210">
        <f t="shared" ref="D185:K185" si="25">D150+D162+D184</f>
        <v>47.22</v>
      </c>
      <c r="E185" s="210">
        <f t="shared" si="25"/>
        <v>206</v>
      </c>
      <c r="F185" s="210">
        <f t="shared" si="25"/>
        <v>13339.5</v>
      </c>
      <c r="G185" s="210">
        <f t="shared" si="25"/>
        <v>2272</v>
      </c>
      <c r="H185" s="210">
        <f t="shared" si="25"/>
        <v>37263</v>
      </c>
      <c r="I185" s="210">
        <f t="shared" si="25"/>
        <v>13092</v>
      </c>
      <c r="J185" s="210">
        <f t="shared" si="25"/>
        <v>99</v>
      </c>
      <c r="K185" s="210">
        <f t="shared" si="25"/>
        <v>148.5</v>
      </c>
      <c r="L185" s="457">
        <f>'Bieu3 GDMN'!F25</f>
        <v>2700</v>
      </c>
      <c r="M185" s="457">
        <f>'Bieu3 GDMN'!N25</f>
        <v>2376</v>
      </c>
      <c r="N185" s="457">
        <f>I185-M185</f>
        <v>10716</v>
      </c>
      <c r="O185" s="457">
        <f>'Bieu3 GDMN'!O25</f>
        <v>1709.75</v>
      </c>
      <c r="P185" s="457">
        <f>'Bieu3 GDMN'!P25</f>
        <v>960</v>
      </c>
      <c r="Q185" s="367" t="s">
        <v>687</v>
      </c>
    </row>
    <row r="186" spans="1:17" s="50" customFormat="1" ht="25" customHeight="1">
      <c r="A186" s="470" t="s">
        <v>417</v>
      </c>
      <c r="B186" s="470" t="s">
        <v>418</v>
      </c>
      <c r="C186" s="471"/>
      <c r="D186" s="471"/>
      <c r="E186" s="471"/>
      <c r="F186" s="472"/>
      <c r="G186" s="471"/>
      <c r="H186" s="200"/>
      <c r="I186" s="473"/>
      <c r="J186" s="197"/>
      <c r="K186" s="197"/>
      <c r="L186" s="197"/>
      <c r="M186" s="197"/>
      <c r="N186" s="197"/>
      <c r="O186" s="197"/>
      <c r="P186" s="197"/>
      <c r="Q186" s="180"/>
    </row>
    <row r="187" spans="1:17" s="50" customFormat="1" ht="25" customHeight="1">
      <c r="A187" s="470" t="s">
        <v>6</v>
      </c>
      <c r="B187" s="470" t="s">
        <v>221</v>
      </c>
      <c r="C187" s="471"/>
      <c r="D187" s="471"/>
      <c r="E187" s="471"/>
      <c r="F187" s="472"/>
      <c r="G187" s="471"/>
      <c r="H187" s="200"/>
      <c r="I187" s="473"/>
      <c r="J187" s="197"/>
      <c r="K187" s="197"/>
      <c r="L187" s="197"/>
      <c r="M187" s="197"/>
      <c r="N187" s="197"/>
      <c r="O187" s="197"/>
      <c r="P187" s="197"/>
      <c r="Q187" s="180"/>
    </row>
    <row r="188" spans="1:17" s="50" customFormat="1" ht="25" customHeight="1">
      <c r="A188" s="470">
        <v>1</v>
      </c>
      <c r="B188" s="470" t="s">
        <v>4</v>
      </c>
      <c r="C188" s="471"/>
      <c r="D188" s="471"/>
      <c r="E188" s="471"/>
      <c r="F188" s="472"/>
      <c r="G188" s="471"/>
      <c r="H188" s="200"/>
      <c r="I188" s="473"/>
      <c r="J188" s="197"/>
      <c r="K188" s="197"/>
      <c r="L188" s="197"/>
      <c r="M188" s="197"/>
      <c r="N188" s="197"/>
      <c r="O188" s="197"/>
      <c r="P188" s="197"/>
      <c r="Q188" s="180"/>
    </row>
    <row r="189" spans="1:17" s="50" customFormat="1" ht="25" customHeight="1">
      <c r="A189" s="402" t="s">
        <v>145</v>
      </c>
      <c r="B189" s="403" t="s">
        <v>159</v>
      </c>
      <c r="C189" s="404"/>
      <c r="D189" s="404"/>
      <c r="E189" s="404"/>
      <c r="F189" s="532"/>
      <c r="G189" s="404"/>
      <c r="H189" s="200"/>
      <c r="I189" s="473"/>
      <c r="J189" s="197"/>
      <c r="K189" s="197"/>
      <c r="L189" s="197"/>
      <c r="M189" s="197"/>
      <c r="N189" s="197"/>
      <c r="O189" s="197"/>
      <c r="P189" s="197"/>
      <c r="Q189" s="180"/>
    </row>
    <row r="190" spans="1:17" s="50" customFormat="1" ht="25" customHeight="1">
      <c r="A190" s="434"/>
      <c r="B190" s="435" t="s">
        <v>716</v>
      </c>
      <c r="C190" s="462"/>
      <c r="D190" s="462"/>
      <c r="E190" s="462"/>
      <c r="F190" s="409"/>
      <c r="G190" s="462"/>
      <c r="H190" s="260"/>
      <c r="I190" s="361"/>
      <c r="J190" s="363"/>
      <c r="K190" s="363"/>
      <c r="L190" s="363"/>
      <c r="M190" s="363"/>
      <c r="N190" s="363"/>
      <c r="O190" s="363"/>
      <c r="P190" s="363"/>
      <c r="Q190" s="414"/>
    </row>
    <row r="191" spans="1:17" s="50" customFormat="1" ht="25" customHeight="1">
      <c r="A191" s="407" t="s">
        <v>224</v>
      </c>
      <c r="B191" s="436" t="s">
        <v>664</v>
      </c>
      <c r="C191" s="474">
        <v>4</v>
      </c>
      <c r="D191" s="410">
        <v>1</v>
      </c>
      <c r="E191" s="474">
        <v>13</v>
      </c>
      <c r="F191" s="180">
        <f t="shared" ref="F191:F206" si="26">I191+J191+K191</f>
        <v>1115.4000000000001</v>
      </c>
      <c r="G191" s="474">
        <v>70</v>
      </c>
      <c r="H191" s="532">
        <f>C191*E191*G191</f>
        <v>3640</v>
      </c>
      <c r="I191" s="196">
        <f>IF(G191&lt;70, C191*E191*16.5*1, C191*E191*16.5*1.3)</f>
        <v>1115.4000000000001</v>
      </c>
      <c r="J191" s="197"/>
      <c r="K191" s="197"/>
      <c r="L191" s="197"/>
      <c r="M191" s="197"/>
      <c r="N191" s="197"/>
      <c r="O191" s="197"/>
      <c r="P191" s="197"/>
      <c r="Q191" s="180"/>
    </row>
    <row r="192" spans="1:17" s="50" customFormat="1" ht="25" customHeight="1">
      <c r="A192" s="407"/>
      <c r="B192" s="435" t="s">
        <v>717</v>
      </c>
      <c r="C192" s="474"/>
      <c r="D192" s="410"/>
      <c r="E192" s="474"/>
      <c r="F192" s="414"/>
      <c r="G192" s="474"/>
      <c r="H192" s="409"/>
      <c r="I192" s="412"/>
      <c r="J192" s="363"/>
      <c r="K192" s="363"/>
      <c r="L192" s="363"/>
      <c r="M192" s="363"/>
      <c r="N192" s="363"/>
      <c r="O192" s="363"/>
      <c r="P192" s="363"/>
      <c r="Q192" s="414"/>
    </row>
    <row r="193" spans="1:17" s="50" customFormat="1" ht="25" customHeight="1">
      <c r="A193" s="407" t="s">
        <v>225</v>
      </c>
      <c r="B193" s="436" t="s">
        <v>665</v>
      </c>
      <c r="C193" s="408">
        <v>3</v>
      </c>
      <c r="D193" s="475">
        <v>1</v>
      </c>
      <c r="E193" s="408">
        <v>7</v>
      </c>
      <c r="F193" s="180">
        <f t="shared" si="26"/>
        <v>450.45</v>
      </c>
      <c r="G193" s="408">
        <v>70</v>
      </c>
      <c r="H193" s="532">
        <f t="shared" ref="H193:H206" si="27">C193*E193*G193</f>
        <v>1470</v>
      </c>
      <c r="I193" s="196">
        <f t="shared" ref="I193:I206" si="28">IF(G193&lt;70, C193*E193*16.5*1, C193*E193*16.5*1.3)</f>
        <v>450.45</v>
      </c>
      <c r="J193" s="197"/>
      <c r="K193" s="197"/>
      <c r="L193" s="197"/>
      <c r="M193" s="197"/>
      <c r="N193" s="197"/>
      <c r="O193" s="197"/>
      <c r="P193" s="197"/>
      <c r="Q193" s="180"/>
    </row>
    <row r="194" spans="1:17" s="50" customFormat="1" ht="25" customHeight="1">
      <c r="A194" s="407"/>
      <c r="B194" s="435" t="s">
        <v>718</v>
      </c>
      <c r="C194" s="408"/>
      <c r="D194" s="475"/>
      <c r="E194" s="408"/>
      <c r="F194" s="414"/>
      <c r="G194" s="408"/>
      <c r="H194" s="409"/>
      <c r="I194" s="412"/>
      <c r="J194" s="363"/>
      <c r="K194" s="363"/>
      <c r="L194" s="363"/>
      <c r="M194" s="363"/>
      <c r="N194" s="363"/>
      <c r="O194" s="363"/>
      <c r="P194" s="363"/>
      <c r="Q194" s="414"/>
    </row>
    <row r="195" spans="1:17" s="50" customFormat="1" ht="25" customHeight="1">
      <c r="A195" s="407" t="s">
        <v>227</v>
      </c>
      <c r="B195" s="436" t="s">
        <v>666</v>
      </c>
      <c r="C195" s="408">
        <v>5</v>
      </c>
      <c r="D195" s="475">
        <v>1</v>
      </c>
      <c r="E195" s="408">
        <v>6</v>
      </c>
      <c r="F195" s="180">
        <f t="shared" si="26"/>
        <v>643.5</v>
      </c>
      <c r="G195" s="408">
        <v>70</v>
      </c>
      <c r="H195" s="532">
        <f t="shared" si="27"/>
        <v>2100</v>
      </c>
      <c r="I195" s="196">
        <f t="shared" si="28"/>
        <v>643.5</v>
      </c>
      <c r="J195" s="197"/>
      <c r="K195" s="197"/>
      <c r="L195" s="197"/>
      <c r="M195" s="197"/>
      <c r="N195" s="197"/>
      <c r="O195" s="197"/>
      <c r="P195" s="197"/>
      <c r="Q195" s="180"/>
    </row>
    <row r="196" spans="1:17" s="50" customFormat="1" ht="25" customHeight="1">
      <c r="A196" s="407"/>
      <c r="B196" s="435" t="s">
        <v>721</v>
      </c>
      <c r="C196" s="408"/>
      <c r="D196" s="475"/>
      <c r="E196" s="408"/>
      <c r="F196" s="414"/>
      <c r="G196" s="408"/>
      <c r="H196" s="409"/>
      <c r="I196" s="412"/>
      <c r="J196" s="363"/>
      <c r="K196" s="363"/>
      <c r="L196" s="363"/>
      <c r="M196" s="363"/>
      <c r="N196" s="363"/>
      <c r="O196" s="363"/>
      <c r="P196" s="363"/>
      <c r="Q196" s="414"/>
    </row>
    <row r="197" spans="1:17" s="50" customFormat="1" ht="25" customHeight="1">
      <c r="A197" s="407" t="s">
        <v>228</v>
      </c>
      <c r="B197" s="436" t="s">
        <v>667</v>
      </c>
      <c r="C197" s="408">
        <v>2</v>
      </c>
      <c r="D197" s="475">
        <v>1</v>
      </c>
      <c r="E197" s="408">
        <v>1</v>
      </c>
      <c r="F197" s="180">
        <f t="shared" si="26"/>
        <v>33</v>
      </c>
      <c r="G197" s="408">
        <v>50</v>
      </c>
      <c r="H197" s="532">
        <f t="shared" si="27"/>
        <v>100</v>
      </c>
      <c r="I197" s="196">
        <f t="shared" si="28"/>
        <v>33</v>
      </c>
      <c r="J197" s="197"/>
      <c r="K197" s="197"/>
      <c r="L197" s="197"/>
      <c r="M197" s="197"/>
      <c r="N197" s="197"/>
      <c r="O197" s="197"/>
      <c r="P197" s="197"/>
      <c r="Q197" s="180"/>
    </row>
    <row r="198" spans="1:17" s="50" customFormat="1" ht="25" customHeight="1">
      <c r="A198" s="407" t="s">
        <v>229</v>
      </c>
      <c r="B198" s="436" t="s">
        <v>406</v>
      </c>
      <c r="C198" s="408">
        <v>2</v>
      </c>
      <c r="D198" s="475">
        <v>1</v>
      </c>
      <c r="E198" s="408">
        <v>1</v>
      </c>
      <c r="F198" s="180">
        <f t="shared" si="26"/>
        <v>33</v>
      </c>
      <c r="G198" s="408">
        <v>55</v>
      </c>
      <c r="H198" s="532">
        <f t="shared" si="27"/>
        <v>110</v>
      </c>
      <c r="I198" s="196">
        <f t="shared" si="28"/>
        <v>33</v>
      </c>
      <c r="J198" s="197"/>
      <c r="K198" s="197"/>
      <c r="L198" s="197"/>
      <c r="M198" s="197"/>
      <c r="N198" s="197"/>
      <c r="O198" s="197"/>
      <c r="P198" s="197"/>
      <c r="Q198" s="180"/>
    </row>
    <row r="199" spans="1:17" s="50" customFormat="1" ht="25" customHeight="1">
      <c r="A199" s="407"/>
      <c r="B199" s="435" t="s">
        <v>719</v>
      </c>
      <c r="C199" s="408"/>
      <c r="D199" s="475"/>
      <c r="E199" s="408"/>
      <c r="F199" s="414"/>
      <c r="G199" s="408"/>
      <c r="H199" s="409"/>
      <c r="I199" s="412"/>
      <c r="J199" s="363"/>
      <c r="K199" s="363"/>
      <c r="L199" s="363"/>
      <c r="M199" s="363"/>
      <c r="N199" s="363"/>
      <c r="O199" s="363"/>
      <c r="P199" s="363"/>
      <c r="Q199" s="414"/>
    </row>
    <row r="200" spans="1:17" s="50" customFormat="1" ht="25" customHeight="1">
      <c r="A200" s="407" t="s">
        <v>283</v>
      </c>
      <c r="B200" s="436" t="s">
        <v>668</v>
      </c>
      <c r="C200" s="476">
        <v>3</v>
      </c>
      <c r="D200" s="475">
        <v>1</v>
      </c>
      <c r="E200" s="476">
        <v>1</v>
      </c>
      <c r="F200" s="180">
        <f t="shared" si="26"/>
        <v>49.5</v>
      </c>
      <c r="G200" s="476">
        <v>40</v>
      </c>
      <c r="H200" s="532">
        <f t="shared" si="27"/>
        <v>120</v>
      </c>
      <c r="I200" s="196">
        <f t="shared" si="28"/>
        <v>49.5</v>
      </c>
      <c r="J200" s="197"/>
      <c r="K200" s="197"/>
      <c r="L200" s="197"/>
      <c r="M200" s="197"/>
      <c r="N200" s="197"/>
      <c r="O200" s="197"/>
      <c r="P200" s="197"/>
      <c r="Q200" s="180"/>
    </row>
    <row r="201" spans="1:17" s="50" customFormat="1" ht="25" customHeight="1">
      <c r="A201" s="407" t="s">
        <v>284</v>
      </c>
      <c r="B201" s="436" t="s">
        <v>407</v>
      </c>
      <c r="C201" s="476">
        <v>2</v>
      </c>
      <c r="D201" s="475">
        <v>1</v>
      </c>
      <c r="E201" s="476">
        <v>1</v>
      </c>
      <c r="F201" s="180">
        <f t="shared" si="26"/>
        <v>33</v>
      </c>
      <c r="G201" s="476">
        <v>40</v>
      </c>
      <c r="H201" s="532">
        <f t="shared" si="27"/>
        <v>80</v>
      </c>
      <c r="I201" s="196">
        <f t="shared" si="28"/>
        <v>33</v>
      </c>
      <c r="J201" s="197"/>
      <c r="K201" s="197"/>
      <c r="L201" s="197"/>
      <c r="M201" s="197"/>
      <c r="N201" s="197"/>
      <c r="O201" s="197"/>
      <c r="P201" s="197"/>
      <c r="Q201" s="180"/>
    </row>
    <row r="202" spans="1:17" s="50" customFormat="1" ht="25" customHeight="1">
      <c r="A202" s="407" t="s">
        <v>287</v>
      </c>
      <c r="B202" s="436" t="s">
        <v>669</v>
      </c>
      <c r="C202" s="476">
        <v>2</v>
      </c>
      <c r="D202" s="475">
        <v>1</v>
      </c>
      <c r="E202" s="476">
        <v>1</v>
      </c>
      <c r="F202" s="180">
        <f t="shared" si="26"/>
        <v>42.9</v>
      </c>
      <c r="G202" s="476">
        <v>80</v>
      </c>
      <c r="H202" s="532">
        <f t="shared" si="27"/>
        <v>160</v>
      </c>
      <c r="I202" s="196">
        <f t="shared" si="28"/>
        <v>42.9</v>
      </c>
      <c r="J202" s="197"/>
      <c r="K202" s="197"/>
      <c r="L202" s="197"/>
      <c r="M202" s="197"/>
      <c r="N202" s="197"/>
      <c r="O202" s="197"/>
      <c r="P202" s="197"/>
      <c r="Q202" s="180"/>
    </row>
    <row r="203" spans="1:17" s="50" customFormat="1" ht="25" customHeight="1">
      <c r="A203" s="407"/>
      <c r="B203" s="435" t="s">
        <v>720</v>
      </c>
      <c r="C203" s="476"/>
      <c r="D203" s="475"/>
      <c r="E203" s="476"/>
      <c r="F203" s="414"/>
      <c r="G203" s="476"/>
      <c r="H203" s="409"/>
      <c r="I203" s="412"/>
      <c r="J203" s="363"/>
      <c r="K203" s="363"/>
      <c r="L203" s="363"/>
      <c r="M203" s="363"/>
      <c r="N203" s="363"/>
      <c r="O203" s="363"/>
      <c r="P203" s="363"/>
      <c r="Q203" s="414"/>
    </row>
    <row r="204" spans="1:17" s="50" customFormat="1" ht="25" customHeight="1">
      <c r="A204" s="407" t="s">
        <v>288</v>
      </c>
      <c r="B204" s="436" t="s">
        <v>670</v>
      </c>
      <c r="C204" s="476">
        <v>2</v>
      </c>
      <c r="D204" s="475">
        <v>1</v>
      </c>
      <c r="E204" s="476">
        <v>1</v>
      </c>
      <c r="F204" s="180">
        <f t="shared" si="26"/>
        <v>42.9</v>
      </c>
      <c r="G204" s="476">
        <v>80</v>
      </c>
      <c r="H204" s="532">
        <f t="shared" si="27"/>
        <v>160</v>
      </c>
      <c r="I204" s="196">
        <f t="shared" si="28"/>
        <v>42.9</v>
      </c>
      <c r="J204" s="197"/>
      <c r="K204" s="197"/>
      <c r="L204" s="197"/>
      <c r="M204" s="197"/>
      <c r="N204" s="197"/>
      <c r="O204" s="197"/>
      <c r="P204" s="197"/>
      <c r="Q204" s="180"/>
    </row>
    <row r="205" spans="1:17" s="50" customFormat="1" ht="25" customHeight="1">
      <c r="A205" s="407" t="s">
        <v>289</v>
      </c>
      <c r="B205" s="436" t="s">
        <v>408</v>
      </c>
      <c r="C205" s="476">
        <v>1</v>
      </c>
      <c r="D205" s="409">
        <v>1.4</v>
      </c>
      <c r="E205" s="476">
        <v>6</v>
      </c>
      <c r="F205" s="180">
        <f t="shared" si="26"/>
        <v>99</v>
      </c>
      <c r="G205" s="476">
        <v>36</v>
      </c>
      <c r="H205" s="532">
        <f t="shared" si="27"/>
        <v>216</v>
      </c>
      <c r="I205" s="196">
        <f t="shared" si="28"/>
        <v>99</v>
      </c>
      <c r="J205" s="197"/>
      <c r="K205" s="197"/>
      <c r="L205" s="197"/>
      <c r="M205" s="197"/>
      <c r="N205" s="197"/>
      <c r="O205" s="197"/>
      <c r="P205" s="197"/>
      <c r="Q205" s="180"/>
    </row>
    <row r="206" spans="1:17" s="50" customFormat="1" ht="25" customHeight="1">
      <c r="A206" s="407" t="s">
        <v>290</v>
      </c>
      <c r="B206" s="408" t="s">
        <v>409</v>
      </c>
      <c r="C206" s="476">
        <v>1</v>
      </c>
      <c r="D206" s="409">
        <v>1.4</v>
      </c>
      <c r="E206" s="476">
        <v>14</v>
      </c>
      <c r="F206" s="180">
        <f t="shared" si="26"/>
        <v>231</v>
      </c>
      <c r="G206" s="476">
        <v>20</v>
      </c>
      <c r="H206" s="532">
        <f t="shared" si="27"/>
        <v>280</v>
      </c>
      <c r="I206" s="196">
        <f t="shared" si="28"/>
        <v>231</v>
      </c>
      <c r="J206" s="197"/>
      <c r="K206" s="197"/>
      <c r="L206" s="197"/>
      <c r="M206" s="197"/>
      <c r="N206" s="197"/>
      <c r="O206" s="197"/>
      <c r="P206" s="197"/>
      <c r="Q206" s="180"/>
    </row>
    <row r="207" spans="1:17" s="50" customFormat="1" ht="25" customHeight="1">
      <c r="A207" s="428"/>
      <c r="B207" s="429" t="s">
        <v>375</v>
      </c>
      <c r="C207" s="430">
        <f>SUM(C191:C206)</f>
        <v>27</v>
      </c>
      <c r="D207" s="430">
        <f t="shared" ref="D207:K207" si="29">SUM(D191:D206)</f>
        <v>11.8</v>
      </c>
      <c r="E207" s="430">
        <f t="shared" si="29"/>
        <v>52</v>
      </c>
      <c r="F207" s="430">
        <f t="shared" si="29"/>
        <v>2773.6500000000005</v>
      </c>
      <c r="G207" s="430">
        <f t="shared" si="29"/>
        <v>611</v>
      </c>
      <c r="H207" s="430">
        <f t="shared" si="29"/>
        <v>8436</v>
      </c>
      <c r="I207" s="430">
        <f t="shared" si="29"/>
        <v>2773.6500000000005</v>
      </c>
      <c r="J207" s="430">
        <f t="shared" si="29"/>
        <v>0</v>
      </c>
      <c r="K207" s="430">
        <f t="shared" si="29"/>
        <v>0</v>
      </c>
      <c r="L207" s="197"/>
      <c r="M207" s="197"/>
      <c r="N207" s="197"/>
      <c r="O207" s="197"/>
      <c r="P207" s="197"/>
      <c r="Q207" s="180"/>
    </row>
    <row r="208" spans="1:17" s="50" customFormat="1" ht="25" customHeight="1">
      <c r="A208" s="477">
        <v>2</v>
      </c>
      <c r="B208" s="477" t="s">
        <v>162</v>
      </c>
      <c r="C208" s="409"/>
      <c r="D208" s="409"/>
      <c r="E208" s="409"/>
      <c r="F208" s="180"/>
      <c r="G208" s="409"/>
      <c r="H208" s="532"/>
      <c r="I208" s="196"/>
      <c r="J208" s="197"/>
      <c r="K208" s="197"/>
      <c r="L208" s="197"/>
      <c r="M208" s="197"/>
      <c r="N208" s="197"/>
      <c r="O208" s="197"/>
      <c r="P208" s="197"/>
      <c r="Q208" s="180"/>
    </row>
    <row r="209" spans="1:17" s="50" customFormat="1" ht="25" customHeight="1">
      <c r="A209" s="434" t="s">
        <v>145</v>
      </c>
      <c r="B209" s="435" t="s">
        <v>163</v>
      </c>
      <c r="C209" s="409"/>
      <c r="D209" s="409"/>
      <c r="E209" s="409"/>
      <c r="F209" s="180"/>
      <c r="G209" s="409"/>
      <c r="H209" s="532"/>
      <c r="I209" s="196"/>
      <c r="J209" s="197"/>
      <c r="K209" s="197"/>
      <c r="L209" s="197"/>
      <c r="M209" s="197"/>
      <c r="N209" s="197"/>
      <c r="O209" s="197"/>
      <c r="P209" s="197"/>
      <c r="Q209" s="180"/>
    </row>
    <row r="210" spans="1:17" s="50" customFormat="1" ht="25" customHeight="1">
      <c r="A210" s="407" t="s">
        <v>224</v>
      </c>
      <c r="B210" s="436" t="s">
        <v>410</v>
      </c>
      <c r="C210" s="408">
        <v>3</v>
      </c>
      <c r="D210" s="475">
        <v>1</v>
      </c>
      <c r="E210" s="476">
        <v>3</v>
      </c>
      <c r="F210" s="200">
        <f>I210+J210+K210</f>
        <v>222.75</v>
      </c>
      <c r="G210" s="408">
        <v>15</v>
      </c>
      <c r="H210" s="532">
        <f t="shared" ref="H210:H216" si="30">C210*E210*G210</f>
        <v>135</v>
      </c>
      <c r="I210" s="196">
        <f t="shared" ref="I210:I216" si="31">IF(G210&lt;70, C210*E210*16.5*1*1.5, C210*E210*16.5*1.3*1.5)</f>
        <v>222.75</v>
      </c>
      <c r="J210" s="197"/>
      <c r="K210" s="197"/>
      <c r="L210" s="197"/>
      <c r="M210" s="197"/>
      <c r="N210" s="197"/>
      <c r="O210" s="197"/>
      <c r="P210" s="197"/>
      <c r="Q210" s="180"/>
    </row>
    <row r="211" spans="1:17" s="50" customFormat="1" ht="25" customHeight="1">
      <c r="A211" s="407" t="s">
        <v>225</v>
      </c>
      <c r="B211" s="436" t="s">
        <v>411</v>
      </c>
      <c r="C211" s="408">
        <v>3</v>
      </c>
      <c r="D211" s="475">
        <v>1</v>
      </c>
      <c r="E211" s="476">
        <v>1</v>
      </c>
      <c r="F211" s="200">
        <f t="shared" ref="F211:F216" si="32">I211+J211+K211</f>
        <v>74.25</v>
      </c>
      <c r="G211" s="408">
        <v>10</v>
      </c>
      <c r="H211" s="532">
        <f t="shared" si="30"/>
        <v>30</v>
      </c>
      <c r="I211" s="196">
        <f t="shared" si="31"/>
        <v>74.25</v>
      </c>
      <c r="J211" s="197"/>
      <c r="K211" s="197"/>
      <c r="L211" s="197"/>
      <c r="M211" s="197"/>
      <c r="N211" s="197"/>
      <c r="O211" s="197"/>
      <c r="P211" s="197"/>
      <c r="Q211" s="180"/>
    </row>
    <row r="212" spans="1:17" s="50" customFormat="1" ht="25" customHeight="1">
      <c r="A212" s="407" t="s">
        <v>226</v>
      </c>
      <c r="B212" s="442" t="s">
        <v>412</v>
      </c>
      <c r="C212" s="408">
        <v>3</v>
      </c>
      <c r="D212" s="475">
        <v>1</v>
      </c>
      <c r="E212" s="476">
        <v>1</v>
      </c>
      <c r="F212" s="200">
        <f t="shared" si="32"/>
        <v>74.25</v>
      </c>
      <c r="G212" s="408">
        <v>10</v>
      </c>
      <c r="H212" s="532">
        <f t="shared" si="30"/>
        <v>30</v>
      </c>
      <c r="I212" s="196">
        <f t="shared" si="31"/>
        <v>74.25</v>
      </c>
      <c r="J212" s="197"/>
      <c r="K212" s="197"/>
      <c r="L212" s="197"/>
      <c r="M212" s="197"/>
      <c r="N212" s="197"/>
      <c r="O212" s="197"/>
      <c r="P212" s="197"/>
      <c r="Q212" s="180"/>
    </row>
    <row r="213" spans="1:17" s="50" customFormat="1" ht="25" customHeight="1">
      <c r="A213" s="407" t="s">
        <v>227</v>
      </c>
      <c r="B213" s="436" t="s">
        <v>413</v>
      </c>
      <c r="C213" s="408">
        <v>3</v>
      </c>
      <c r="D213" s="475">
        <v>1</v>
      </c>
      <c r="E213" s="476">
        <v>1</v>
      </c>
      <c r="F213" s="200">
        <f t="shared" si="32"/>
        <v>74.25</v>
      </c>
      <c r="G213" s="408">
        <v>10</v>
      </c>
      <c r="H213" s="532">
        <f t="shared" si="30"/>
        <v>30</v>
      </c>
      <c r="I213" s="196">
        <f t="shared" si="31"/>
        <v>74.25</v>
      </c>
      <c r="J213" s="197"/>
      <c r="K213" s="197"/>
      <c r="L213" s="197"/>
      <c r="M213" s="197"/>
      <c r="N213" s="197"/>
      <c r="O213" s="197"/>
      <c r="P213" s="197"/>
      <c r="Q213" s="180"/>
    </row>
    <row r="214" spans="1:17" s="50" customFormat="1" ht="25" customHeight="1">
      <c r="A214" s="407" t="s">
        <v>228</v>
      </c>
      <c r="B214" s="437" t="s">
        <v>414</v>
      </c>
      <c r="C214" s="408">
        <v>3</v>
      </c>
      <c r="D214" s="475">
        <v>1</v>
      </c>
      <c r="E214" s="476">
        <v>3</v>
      </c>
      <c r="F214" s="200">
        <f t="shared" si="32"/>
        <v>222.75</v>
      </c>
      <c r="G214" s="408">
        <v>15</v>
      </c>
      <c r="H214" s="532">
        <f t="shared" si="30"/>
        <v>135</v>
      </c>
      <c r="I214" s="196">
        <f t="shared" si="31"/>
        <v>222.75</v>
      </c>
      <c r="J214" s="197"/>
      <c r="K214" s="197"/>
      <c r="L214" s="197"/>
      <c r="M214" s="197"/>
      <c r="N214" s="197"/>
      <c r="O214" s="197"/>
      <c r="P214" s="197"/>
      <c r="Q214" s="180"/>
    </row>
    <row r="215" spans="1:17" s="50" customFormat="1" ht="25" customHeight="1">
      <c r="A215" s="407" t="s">
        <v>229</v>
      </c>
      <c r="B215" s="437" t="s">
        <v>415</v>
      </c>
      <c r="C215" s="408">
        <v>3</v>
      </c>
      <c r="D215" s="475">
        <v>1</v>
      </c>
      <c r="E215" s="476">
        <v>1</v>
      </c>
      <c r="F215" s="200">
        <f t="shared" si="32"/>
        <v>74.25</v>
      </c>
      <c r="G215" s="408">
        <v>10</v>
      </c>
      <c r="H215" s="532">
        <f t="shared" si="30"/>
        <v>30</v>
      </c>
      <c r="I215" s="196">
        <f t="shared" si="31"/>
        <v>74.25</v>
      </c>
      <c r="J215" s="197"/>
      <c r="K215" s="197"/>
      <c r="L215" s="197"/>
      <c r="M215" s="197"/>
      <c r="N215" s="197"/>
      <c r="O215" s="197"/>
      <c r="P215" s="197"/>
      <c r="Q215" s="180"/>
    </row>
    <row r="216" spans="1:17" s="50" customFormat="1" ht="25" customHeight="1">
      <c r="A216" s="407" t="s">
        <v>280</v>
      </c>
      <c r="B216" s="437" t="s">
        <v>416</v>
      </c>
      <c r="C216" s="408">
        <v>3</v>
      </c>
      <c r="D216" s="475">
        <v>1</v>
      </c>
      <c r="E216" s="476">
        <v>3</v>
      </c>
      <c r="F216" s="200">
        <f t="shared" si="32"/>
        <v>222.75</v>
      </c>
      <c r="G216" s="408">
        <v>15</v>
      </c>
      <c r="H216" s="532">
        <f t="shared" si="30"/>
        <v>135</v>
      </c>
      <c r="I216" s="196">
        <f t="shared" si="31"/>
        <v>222.75</v>
      </c>
      <c r="J216" s="197"/>
      <c r="K216" s="197"/>
      <c r="L216" s="197"/>
      <c r="M216" s="197"/>
      <c r="N216" s="197"/>
      <c r="O216" s="197"/>
      <c r="P216" s="197"/>
      <c r="Q216" s="180"/>
    </row>
    <row r="217" spans="1:17" s="50" customFormat="1" ht="25" customHeight="1">
      <c r="A217" s="428"/>
      <c r="B217" s="478" t="s">
        <v>375</v>
      </c>
      <c r="C217" s="430">
        <f>SUM(C210:C216)</f>
        <v>21</v>
      </c>
      <c r="D217" s="430">
        <f t="shared" ref="D217:K217" si="33">SUM(D210:D216)</f>
        <v>7</v>
      </c>
      <c r="E217" s="430">
        <f t="shared" si="33"/>
        <v>13</v>
      </c>
      <c r="F217" s="430">
        <f t="shared" si="33"/>
        <v>965.25</v>
      </c>
      <c r="G217" s="430">
        <f t="shared" si="33"/>
        <v>85</v>
      </c>
      <c r="H217" s="430">
        <f t="shared" si="33"/>
        <v>525</v>
      </c>
      <c r="I217" s="430">
        <f t="shared" si="33"/>
        <v>965.25</v>
      </c>
      <c r="J217" s="430">
        <f t="shared" si="33"/>
        <v>0</v>
      </c>
      <c r="K217" s="430">
        <f t="shared" si="33"/>
        <v>0</v>
      </c>
      <c r="L217" s="197"/>
      <c r="M217" s="197"/>
      <c r="N217" s="197"/>
      <c r="O217" s="197"/>
      <c r="P217" s="197"/>
      <c r="Q217" s="180"/>
    </row>
    <row r="218" spans="1:17" s="50" customFormat="1" ht="25" customHeight="1">
      <c r="A218" s="477" t="s">
        <v>7</v>
      </c>
      <c r="B218" s="477" t="s">
        <v>222</v>
      </c>
      <c r="C218" s="409"/>
      <c r="D218" s="409"/>
      <c r="E218" s="409"/>
      <c r="F218" s="180"/>
      <c r="G218" s="409"/>
      <c r="H218" s="532"/>
      <c r="I218" s="196"/>
      <c r="J218" s="197"/>
      <c r="K218" s="197"/>
      <c r="L218" s="197"/>
      <c r="M218" s="197"/>
      <c r="N218" s="197"/>
      <c r="O218" s="197"/>
      <c r="P218" s="197"/>
      <c r="Q218" s="180"/>
    </row>
    <row r="219" spans="1:17" s="50" customFormat="1" ht="25" customHeight="1">
      <c r="A219" s="477">
        <v>1</v>
      </c>
      <c r="B219" s="435" t="s">
        <v>223</v>
      </c>
      <c r="C219" s="409"/>
      <c r="D219" s="409"/>
      <c r="E219" s="409"/>
      <c r="F219" s="180"/>
      <c r="G219" s="409"/>
      <c r="H219" s="532"/>
      <c r="I219" s="196"/>
      <c r="J219" s="197"/>
      <c r="K219" s="197"/>
      <c r="L219" s="197"/>
      <c r="M219" s="197"/>
      <c r="N219" s="197"/>
      <c r="O219" s="197"/>
      <c r="P219" s="197"/>
      <c r="Q219" s="180"/>
    </row>
    <row r="220" spans="1:17" s="50" customFormat="1" ht="25" customHeight="1">
      <c r="A220" s="477" t="s">
        <v>145</v>
      </c>
      <c r="B220" s="435" t="s">
        <v>161</v>
      </c>
      <c r="C220" s="409"/>
      <c r="D220" s="409"/>
      <c r="E220" s="409"/>
      <c r="F220" s="200"/>
      <c r="G220" s="409"/>
      <c r="H220" s="207"/>
      <c r="I220" s="207"/>
      <c r="J220" s="197"/>
      <c r="K220" s="197"/>
      <c r="L220" s="197"/>
      <c r="M220" s="197"/>
      <c r="N220" s="197"/>
      <c r="O220" s="197"/>
      <c r="P220" s="197"/>
      <c r="Q220" s="180"/>
    </row>
    <row r="221" spans="1:17" s="50" customFormat="1" ht="25" customHeight="1">
      <c r="A221" s="477"/>
      <c r="B221" s="435" t="s">
        <v>722</v>
      </c>
      <c r="C221" s="409"/>
      <c r="D221" s="409"/>
      <c r="E221" s="409"/>
      <c r="F221" s="260"/>
      <c r="G221" s="409"/>
      <c r="H221" s="360"/>
      <c r="I221" s="360"/>
      <c r="J221" s="363"/>
      <c r="K221" s="363"/>
      <c r="L221" s="363"/>
      <c r="M221" s="363"/>
      <c r="N221" s="363"/>
      <c r="O221" s="363"/>
      <c r="P221" s="363"/>
      <c r="Q221" s="414"/>
    </row>
    <row r="222" spans="1:17" s="50" customFormat="1" ht="25" customHeight="1">
      <c r="A222" s="427" t="s">
        <v>224</v>
      </c>
      <c r="B222" s="436" t="s">
        <v>671</v>
      </c>
      <c r="C222" s="476">
        <v>5</v>
      </c>
      <c r="D222" s="475">
        <v>1</v>
      </c>
      <c r="E222" s="409">
        <v>25</v>
      </c>
      <c r="F222" s="200">
        <f>I222+J222+K222</f>
        <v>3093.75</v>
      </c>
      <c r="G222" s="409">
        <v>50</v>
      </c>
      <c r="H222" s="532">
        <f>C222*E222*G222</f>
        <v>6250</v>
      </c>
      <c r="I222" s="196">
        <f>IF(G222&lt;70, C222*E222*16.5*1.5, C222*E222*16.5*1.3*1.5)</f>
        <v>3093.75</v>
      </c>
      <c r="J222" s="197"/>
      <c r="K222" s="197"/>
      <c r="L222" s="197"/>
      <c r="M222" s="197"/>
      <c r="N222" s="197"/>
      <c r="O222" s="197"/>
      <c r="P222" s="197"/>
      <c r="Q222" s="180"/>
    </row>
    <row r="223" spans="1:17" s="50" customFormat="1" ht="25" customHeight="1">
      <c r="A223" s="427" t="s">
        <v>225</v>
      </c>
      <c r="B223" s="436" t="s">
        <v>672</v>
      </c>
      <c r="C223" s="476">
        <v>5</v>
      </c>
      <c r="D223" s="475">
        <v>1</v>
      </c>
      <c r="E223" s="409">
        <v>26</v>
      </c>
      <c r="F223" s="200">
        <f>I223+J223+K223</f>
        <v>3217.5</v>
      </c>
      <c r="G223" s="409">
        <v>50</v>
      </c>
      <c r="H223" s="532">
        <f>C223*E223*G223</f>
        <v>6500</v>
      </c>
      <c r="I223" s="196">
        <f>IF(G223&lt;70, C223*E223*16.5*1.5, C223*E223*16.5*1.3*1.5)</f>
        <v>3217.5</v>
      </c>
      <c r="J223" s="197"/>
      <c r="K223" s="197"/>
      <c r="L223" s="197"/>
      <c r="M223" s="197"/>
      <c r="N223" s="197"/>
      <c r="O223" s="197"/>
      <c r="P223" s="197"/>
      <c r="Q223" s="180"/>
    </row>
    <row r="224" spans="1:17" s="50" customFormat="1" ht="25" customHeight="1">
      <c r="A224" s="428"/>
      <c r="B224" s="429" t="s">
        <v>375</v>
      </c>
      <c r="C224" s="430">
        <f>SUM(C222:C223)</f>
        <v>10</v>
      </c>
      <c r="D224" s="430">
        <f t="shared" ref="D224:K224" si="34">SUM(D222:D223)</f>
        <v>2</v>
      </c>
      <c r="E224" s="430">
        <f t="shared" si="34"/>
        <v>51</v>
      </c>
      <c r="F224" s="430">
        <f t="shared" si="34"/>
        <v>6311.25</v>
      </c>
      <c r="G224" s="430">
        <f t="shared" si="34"/>
        <v>100</v>
      </c>
      <c r="H224" s="430">
        <f t="shared" si="34"/>
        <v>12750</v>
      </c>
      <c r="I224" s="430">
        <f t="shared" si="34"/>
        <v>6311.25</v>
      </c>
      <c r="J224" s="430">
        <f t="shared" si="34"/>
        <v>0</v>
      </c>
      <c r="K224" s="430">
        <f t="shared" si="34"/>
        <v>0</v>
      </c>
      <c r="L224" s="197"/>
      <c r="M224" s="197"/>
      <c r="N224" s="197"/>
      <c r="O224" s="197"/>
      <c r="P224" s="197"/>
      <c r="Q224" s="180"/>
    </row>
    <row r="225" spans="1:17" s="50" customFormat="1" ht="25" customHeight="1">
      <c r="A225" s="479"/>
      <c r="B225" s="480" t="s">
        <v>419</v>
      </c>
      <c r="C225" s="364">
        <f>C207+C217+C224</f>
        <v>58</v>
      </c>
      <c r="D225" s="364">
        <f t="shared" ref="D225:K225" si="35">D207+D217+D224</f>
        <v>20.8</v>
      </c>
      <c r="E225" s="364">
        <f t="shared" si="35"/>
        <v>116</v>
      </c>
      <c r="F225" s="364">
        <f t="shared" si="35"/>
        <v>10050.150000000001</v>
      </c>
      <c r="G225" s="364">
        <f t="shared" si="35"/>
        <v>796</v>
      </c>
      <c r="H225" s="364">
        <f t="shared" si="35"/>
        <v>21711</v>
      </c>
      <c r="I225" s="364">
        <f t="shared" si="35"/>
        <v>10050.150000000001</v>
      </c>
      <c r="J225" s="364">
        <f t="shared" si="35"/>
        <v>0</v>
      </c>
      <c r="K225" s="364">
        <f t="shared" si="35"/>
        <v>0</v>
      </c>
      <c r="L225" s="456">
        <f>'Bieu3 TLH'!F22</f>
        <v>1620</v>
      </c>
      <c r="M225" s="456">
        <f>'Bieu3 TLH'!N22</f>
        <v>1498.5</v>
      </c>
      <c r="N225" s="456">
        <f>I225-M225</f>
        <v>8551.6500000000015</v>
      </c>
      <c r="O225" s="456">
        <f>'Bieu3 TLH'!O22</f>
        <v>1163.25</v>
      </c>
      <c r="P225" s="456">
        <f>'Bieu3 TLH'!P22</f>
        <v>590</v>
      </c>
      <c r="Q225" s="481" t="s">
        <v>688</v>
      </c>
    </row>
    <row r="226" spans="1:17" s="50" customFormat="1" ht="25" customHeight="1">
      <c r="A226" s="470" t="s">
        <v>426</v>
      </c>
      <c r="B226" s="470" t="s">
        <v>427</v>
      </c>
      <c r="C226" s="471"/>
      <c r="D226" s="471"/>
      <c r="E226" s="471"/>
      <c r="F226" s="472"/>
      <c r="G226" s="471"/>
      <c r="H226" s="471"/>
      <c r="I226" s="471"/>
      <c r="J226" s="197"/>
      <c r="K226" s="197"/>
      <c r="L226" s="197"/>
      <c r="M226" s="197"/>
      <c r="N226" s="197"/>
      <c r="O226" s="197"/>
      <c r="P226" s="197"/>
      <c r="Q226" s="180"/>
    </row>
    <row r="227" spans="1:17" s="50" customFormat="1" ht="25" customHeight="1">
      <c r="A227" s="470" t="s">
        <v>6</v>
      </c>
      <c r="B227" s="470" t="s">
        <v>221</v>
      </c>
      <c r="C227" s="471"/>
      <c r="D227" s="471"/>
      <c r="E227" s="471"/>
      <c r="F227" s="472"/>
      <c r="G227" s="471"/>
      <c r="H227" s="471"/>
      <c r="I227" s="471"/>
      <c r="J227" s="197"/>
      <c r="K227" s="197"/>
      <c r="L227" s="197"/>
      <c r="M227" s="197"/>
      <c r="N227" s="197"/>
      <c r="O227" s="197"/>
      <c r="P227" s="197"/>
      <c r="Q227" s="180"/>
    </row>
    <row r="228" spans="1:17" s="50" customFormat="1" ht="25" customHeight="1">
      <c r="A228" s="470">
        <v>1</v>
      </c>
      <c r="B228" s="470" t="s">
        <v>4</v>
      </c>
      <c r="C228" s="471"/>
      <c r="D228" s="471"/>
      <c r="E228" s="471"/>
      <c r="F228" s="472"/>
      <c r="G228" s="471"/>
      <c r="H228" s="471"/>
      <c r="I228" s="471"/>
      <c r="J228" s="197"/>
      <c r="K228" s="197"/>
      <c r="L228" s="197"/>
      <c r="M228" s="197"/>
      <c r="N228" s="197"/>
      <c r="O228" s="197"/>
      <c r="P228" s="197"/>
      <c r="Q228" s="180"/>
    </row>
    <row r="229" spans="1:17" s="50" customFormat="1" ht="25" customHeight="1">
      <c r="A229" s="477"/>
      <c r="B229" s="477" t="s">
        <v>723</v>
      </c>
      <c r="C229" s="543"/>
      <c r="D229" s="543"/>
      <c r="E229" s="543"/>
      <c r="F229" s="544"/>
      <c r="G229" s="543"/>
      <c r="H229" s="543"/>
      <c r="I229" s="543"/>
      <c r="J229" s="363"/>
      <c r="K229" s="363"/>
      <c r="L229" s="363"/>
      <c r="M229" s="363"/>
      <c r="N229" s="363"/>
      <c r="O229" s="363"/>
      <c r="P229" s="363"/>
      <c r="Q229" s="414"/>
    </row>
    <row r="230" spans="1:17" s="50" customFormat="1" ht="25" customHeight="1">
      <c r="A230" s="407" t="s">
        <v>224</v>
      </c>
      <c r="B230" s="436" t="s">
        <v>673</v>
      </c>
      <c r="C230" s="412">
        <v>4</v>
      </c>
      <c r="D230" s="412">
        <v>1</v>
      </c>
      <c r="E230" s="412">
        <v>10</v>
      </c>
      <c r="F230" s="180">
        <f t="shared" ref="F230:F242" si="36">I230+J230+K230</f>
        <v>858</v>
      </c>
      <c r="G230" s="412">
        <v>70</v>
      </c>
      <c r="H230" s="532">
        <f t="shared" ref="H230:H242" si="37">C230*E230*G230</f>
        <v>2800</v>
      </c>
      <c r="I230" s="196">
        <f t="shared" ref="I230:I242" si="38">IF(G230&lt;70, C230*E230*16.5*1, C230*E230*16.5*1.3)</f>
        <v>858</v>
      </c>
      <c r="J230" s="197"/>
      <c r="K230" s="197"/>
      <c r="L230" s="197"/>
      <c r="M230" s="197"/>
      <c r="N230" s="197"/>
      <c r="O230" s="197"/>
      <c r="P230" s="197"/>
      <c r="Q230" s="180"/>
    </row>
    <row r="231" spans="1:17" s="50" customFormat="1" ht="25" customHeight="1">
      <c r="A231" s="407"/>
      <c r="B231" s="435" t="s">
        <v>724</v>
      </c>
      <c r="C231" s="412"/>
      <c r="D231" s="412"/>
      <c r="E231" s="412"/>
      <c r="F231" s="414"/>
      <c r="G231" s="412"/>
      <c r="H231" s="409"/>
      <c r="I231" s="412"/>
      <c r="J231" s="363"/>
      <c r="K231" s="363"/>
      <c r="L231" s="363"/>
      <c r="M231" s="363"/>
      <c r="N231" s="363"/>
      <c r="O231" s="363"/>
      <c r="P231" s="363"/>
      <c r="Q231" s="414"/>
    </row>
    <row r="232" spans="1:17" s="50" customFormat="1" ht="25" customHeight="1">
      <c r="A232" s="407" t="s">
        <v>225</v>
      </c>
      <c r="B232" s="436" t="s">
        <v>674</v>
      </c>
      <c r="C232" s="409">
        <v>3</v>
      </c>
      <c r="D232" s="409">
        <v>1</v>
      </c>
      <c r="E232" s="409">
        <v>4</v>
      </c>
      <c r="F232" s="180">
        <f t="shared" si="36"/>
        <v>257.40000000000003</v>
      </c>
      <c r="G232" s="409">
        <v>70</v>
      </c>
      <c r="H232" s="532">
        <f t="shared" si="37"/>
        <v>840</v>
      </c>
      <c r="I232" s="196">
        <f t="shared" si="38"/>
        <v>257.40000000000003</v>
      </c>
      <c r="J232" s="197"/>
      <c r="K232" s="197"/>
      <c r="L232" s="197"/>
      <c r="M232" s="197"/>
      <c r="N232" s="197"/>
      <c r="O232" s="197"/>
      <c r="P232" s="197"/>
      <c r="Q232" s="180"/>
    </row>
    <row r="233" spans="1:17" s="50" customFormat="1" ht="25" customHeight="1">
      <c r="A233" s="407"/>
      <c r="B233" s="435" t="s">
        <v>725</v>
      </c>
      <c r="C233" s="409"/>
      <c r="D233" s="409"/>
      <c r="E233" s="409"/>
      <c r="F233" s="414"/>
      <c r="G233" s="409"/>
      <c r="H233" s="409"/>
      <c r="I233" s="412"/>
      <c r="J233" s="363"/>
      <c r="K233" s="363"/>
      <c r="L233" s="363"/>
      <c r="M233" s="363"/>
      <c r="N233" s="363"/>
      <c r="O233" s="363"/>
      <c r="P233" s="363"/>
      <c r="Q233" s="414"/>
    </row>
    <row r="234" spans="1:17" s="50" customFormat="1" ht="25" customHeight="1">
      <c r="A234" s="407" t="s">
        <v>226</v>
      </c>
      <c r="B234" s="442" t="s">
        <v>421</v>
      </c>
      <c r="C234" s="409">
        <v>3</v>
      </c>
      <c r="D234" s="409">
        <v>1</v>
      </c>
      <c r="E234" s="409">
        <v>3</v>
      </c>
      <c r="F234" s="180">
        <f t="shared" si="36"/>
        <v>193.05</v>
      </c>
      <c r="G234" s="409">
        <v>70</v>
      </c>
      <c r="H234" s="532">
        <f t="shared" si="37"/>
        <v>630</v>
      </c>
      <c r="I234" s="196">
        <f t="shared" si="38"/>
        <v>193.05</v>
      </c>
      <c r="J234" s="197"/>
      <c r="K234" s="197"/>
      <c r="L234" s="197"/>
      <c r="M234" s="197"/>
      <c r="N234" s="197"/>
      <c r="O234" s="197"/>
      <c r="P234" s="197"/>
      <c r="Q234" s="180"/>
    </row>
    <row r="235" spans="1:17" s="50" customFormat="1" ht="25" customHeight="1">
      <c r="A235" s="407" t="s">
        <v>227</v>
      </c>
      <c r="B235" s="442" t="s">
        <v>422</v>
      </c>
      <c r="C235" s="409">
        <v>4</v>
      </c>
      <c r="D235" s="409">
        <v>1</v>
      </c>
      <c r="E235" s="409">
        <v>3</v>
      </c>
      <c r="F235" s="180">
        <f t="shared" si="36"/>
        <v>257.40000000000003</v>
      </c>
      <c r="G235" s="409">
        <v>70</v>
      </c>
      <c r="H235" s="532">
        <f t="shared" si="37"/>
        <v>840</v>
      </c>
      <c r="I235" s="196">
        <f t="shared" si="38"/>
        <v>257.40000000000003</v>
      </c>
      <c r="J235" s="197"/>
      <c r="K235" s="197"/>
      <c r="L235" s="197"/>
      <c r="M235" s="197"/>
      <c r="N235" s="197"/>
      <c r="O235" s="197"/>
      <c r="P235" s="197"/>
      <c r="Q235" s="180"/>
    </row>
    <row r="236" spans="1:17" s="50" customFormat="1" ht="25" customHeight="1">
      <c r="A236" s="407"/>
      <c r="B236" s="468" t="s">
        <v>726</v>
      </c>
      <c r="C236" s="409"/>
      <c r="D236" s="409"/>
      <c r="E236" s="409"/>
      <c r="F236" s="414"/>
      <c r="G236" s="409"/>
      <c r="H236" s="409"/>
      <c r="I236" s="412"/>
      <c r="J236" s="363"/>
      <c r="K236" s="363"/>
      <c r="L236" s="363"/>
      <c r="M236" s="363"/>
      <c r="N236" s="363"/>
      <c r="O236" s="363"/>
      <c r="P236" s="363"/>
      <c r="Q236" s="414"/>
    </row>
    <row r="237" spans="1:17" s="50" customFormat="1" ht="25" customHeight="1">
      <c r="A237" s="407" t="s">
        <v>228</v>
      </c>
      <c r="B237" s="442" t="s">
        <v>423</v>
      </c>
      <c r="C237" s="409">
        <v>4</v>
      </c>
      <c r="D237" s="409">
        <v>1</v>
      </c>
      <c r="E237" s="409">
        <v>4</v>
      </c>
      <c r="F237" s="180">
        <f t="shared" si="36"/>
        <v>343.2</v>
      </c>
      <c r="G237" s="409">
        <v>70</v>
      </c>
      <c r="H237" s="532">
        <f t="shared" si="37"/>
        <v>1120</v>
      </c>
      <c r="I237" s="196">
        <f t="shared" si="38"/>
        <v>343.2</v>
      </c>
      <c r="J237" s="197"/>
      <c r="K237" s="197"/>
      <c r="L237" s="197"/>
      <c r="M237" s="197"/>
      <c r="N237" s="197"/>
      <c r="O237" s="197"/>
      <c r="P237" s="197"/>
      <c r="Q237" s="180"/>
    </row>
    <row r="238" spans="1:17" s="50" customFormat="1" ht="25" customHeight="1">
      <c r="A238" s="407" t="s">
        <v>229</v>
      </c>
      <c r="B238" s="437" t="s">
        <v>424</v>
      </c>
      <c r="C238" s="409">
        <v>4</v>
      </c>
      <c r="D238" s="409">
        <v>1</v>
      </c>
      <c r="E238" s="409">
        <v>1</v>
      </c>
      <c r="F238" s="180">
        <f t="shared" si="36"/>
        <v>85.8</v>
      </c>
      <c r="G238" s="409">
        <v>70</v>
      </c>
      <c r="H238" s="532">
        <f t="shared" si="37"/>
        <v>280</v>
      </c>
      <c r="I238" s="196">
        <f t="shared" si="38"/>
        <v>85.8</v>
      </c>
      <c r="J238" s="197"/>
      <c r="K238" s="197"/>
      <c r="L238" s="197"/>
      <c r="M238" s="197"/>
      <c r="N238" s="197"/>
      <c r="O238" s="197"/>
      <c r="P238" s="197"/>
      <c r="Q238" s="180"/>
    </row>
    <row r="239" spans="1:17" s="50" customFormat="1" ht="25" customHeight="1">
      <c r="A239" s="407" t="s">
        <v>675</v>
      </c>
      <c r="B239" s="437" t="s">
        <v>676</v>
      </c>
      <c r="C239" s="409">
        <v>2</v>
      </c>
      <c r="D239" s="409">
        <v>1</v>
      </c>
      <c r="E239" s="409">
        <v>4</v>
      </c>
      <c r="F239" s="180">
        <f t="shared" si="36"/>
        <v>171.6</v>
      </c>
      <c r="G239" s="409">
        <v>70</v>
      </c>
      <c r="H239" s="532">
        <f t="shared" si="37"/>
        <v>560</v>
      </c>
      <c r="I239" s="196">
        <f t="shared" si="38"/>
        <v>171.6</v>
      </c>
      <c r="J239" s="197"/>
      <c r="K239" s="197"/>
      <c r="L239" s="197"/>
      <c r="M239" s="197"/>
      <c r="N239" s="197"/>
      <c r="O239" s="197"/>
      <c r="P239" s="197"/>
      <c r="Q239" s="180"/>
    </row>
    <row r="240" spans="1:17" s="50" customFormat="1" ht="25" customHeight="1">
      <c r="A240" s="407"/>
      <c r="B240" s="539" t="s">
        <v>727</v>
      </c>
      <c r="C240" s="409"/>
      <c r="D240" s="409"/>
      <c r="E240" s="409"/>
      <c r="F240" s="414"/>
      <c r="G240" s="409"/>
      <c r="H240" s="409"/>
      <c r="I240" s="412"/>
      <c r="J240" s="363"/>
      <c r="K240" s="363"/>
      <c r="L240" s="363"/>
      <c r="M240" s="363"/>
      <c r="N240" s="363"/>
      <c r="O240" s="363"/>
      <c r="P240" s="363"/>
      <c r="Q240" s="414"/>
    </row>
    <row r="241" spans="1:17" s="50" customFormat="1" ht="25" customHeight="1">
      <c r="A241" s="407" t="s">
        <v>677</v>
      </c>
      <c r="B241" s="437" t="s">
        <v>678</v>
      </c>
      <c r="C241" s="409">
        <v>2</v>
      </c>
      <c r="D241" s="409">
        <v>1</v>
      </c>
      <c r="E241" s="409">
        <v>10</v>
      </c>
      <c r="F241" s="180">
        <f t="shared" si="36"/>
        <v>429</v>
      </c>
      <c r="G241" s="409">
        <v>70</v>
      </c>
      <c r="H241" s="532">
        <f t="shared" si="37"/>
        <v>1400</v>
      </c>
      <c r="I241" s="196">
        <f t="shared" si="38"/>
        <v>429</v>
      </c>
      <c r="J241" s="197"/>
      <c r="K241" s="197"/>
      <c r="L241" s="197"/>
      <c r="M241" s="197"/>
      <c r="N241" s="197"/>
      <c r="O241" s="197"/>
      <c r="P241" s="197"/>
      <c r="Q241" s="180"/>
    </row>
    <row r="242" spans="1:17" s="50" customFormat="1" ht="25" customHeight="1">
      <c r="A242" s="407" t="s">
        <v>280</v>
      </c>
      <c r="B242" s="437" t="s">
        <v>425</v>
      </c>
      <c r="C242" s="409">
        <v>3</v>
      </c>
      <c r="D242" s="409">
        <v>1</v>
      </c>
      <c r="E242" s="409">
        <v>4</v>
      </c>
      <c r="F242" s="180">
        <f t="shared" si="36"/>
        <v>257.40000000000003</v>
      </c>
      <c r="G242" s="409">
        <v>70</v>
      </c>
      <c r="H242" s="532">
        <f t="shared" si="37"/>
        <v>840</v>
      </c>
      <c r="I242" s="196">
        <f t="shared" si="38"/>
        <v>257.40000000000003</v>
      </c>
      <c r="J242" s="197"/>
      <c r="K242" s="197"/>
      <c r="L242" s="197"/>
      <c r="M242" s="197"/>
      <c r="N242" s="197"/>
      <c r="O242" s="197"/>
      <c r="P242" s="197"/>
      <c r="Q242" s="180"/>
    </row>
    <row r="243" spans="1:17" s="50" customFormat="1" ht="25" customHeight="1">
      <c r="A243" s="428"/>
      <c r="B243" s="429" t="s">
        <v>375</v>
      </c>
      <c r="C243" s="430">
        <f t="shared" ref="C243:K243" si="39">SUM(C230:C242)</f>
        <v>29</v>
      </c>
      <c r="D243" s="430">
        <f t="shared" si="39"/>
        <v>9</v>
      </c>
      <c r="E243" s="430">
        <f t="shared" si="39"/>
        <v>43</v>
      </c>
      <c r="F243" s="430">
        <f t="shared" si="39"/>
        <v>2852.8500000000004</v>
      </c>
      <c r="G243" s="430">
        <f t="shared" si="39"/>
        <v>630</v>
      </c>
      <c r="H243" s="430">
        <f t="shared" si="39"/>
        <v>9310</v>
      </c>
      <c r="I243" s="430">
        <f t="shared" si="39"/>
        <v>2852.8500000000004</v>
      </c>
      <c r="J243" s="430">
        <f t="shared" si="39"/>
        <v>0</v>
      </c>
      <c r="K243" s="430">
        <f t="shared" si="39"/>
        <v>0</v>
      </c>
      <c r="L243" s="197"/>
      <c r="M243" s="197"/>
      <c r="N243" s="197"/>
      <c r="O243" s="197"/>
      <c r="P243" s="197"/>
      <c r="Q243" s="180"/>
    </row>
    <row r="244" spans="1:17" s="50" customFormat="1" ht="25" customHeight="1">
      <c r="A244" s="425" t="s">
        <v>146</v>
      </c>
      <c r="B244" s="426" t="s">
        <v>149</v>
      </c>
      <c r="C244" s="409"/>
      <c r="D244" s="409"/>
      <c r="E244" s="409"/>
      <c r="F244" s="532"/>
      <c r="G244" s="409"/>
      <c r="H244" s="532"/>
      <c r="I244" s="197"/>
      <c r="J244" s="197"/>
      <c r="K244" s="197"/>
      <c r="L244" s="197"/>
      <c r="M244" s="197"/>
      <c r="N244" s="197"/>
      <c r="O244" s="197"/>
      <c r="P244" s="197"/>
      <c r="Q244" s="180"/>
    </row>
    <row r="245" spans="1:17" s="50" customFormat="1" ht="25" customHeight="1">
      <c r="A245" s="427" t="s">
        <v>230</v>
      </c>
      <c r="B245" s="407" t="s">
        <v>152</v>
      </c>
      <c r="C245" s="409"/>
      <c r="D245" s="409"/>
      <c r="E245" s="409"/>
      <c r="F245" s="532"/>
      <c r="G245" s="409"/>
      <c r="H245" s="532"/>
      <c r="I245" s="197"/>
      <c r="J245" s="197"/>
      <c r="K245" s="197"/>
      <c r="L245" s="197"/>
      <c r="M245" s="197"/>
      <c r="N245" s="197"/>
      <c r="O245" s="197"/>
      <c r="P245" s="197"/>
      <c r="Q245" s="180"/>
    </row>
    <row r="246" spans="1:17" s="50" customFormat="1" ht="25" customHeight="1">
      <c r="A246" s="427" t="s">
        <v>231</v>
      </c>
      <c r="B246" s="407" t="s">
        <v>151</v>
      </c>
      <c r="C246" s="409"/>
      <c r="D246" s="409"/>
      <c r="E246" s="409"/>
      <c r="F246" s="532"/>
      <c r="G246" s="409"/>
      <c r="H246" s="532"/>
      <c r="I246" s="197"/>
      <c r="J246" s="197"/>
      <c r="K246" s="197"/>
      <c r="L246" s="197"/>
      <c r="M246" s="197"/>
      <c r="N246" s="197"/>
      <c r="O246" s="197"/>
      <c r="P246" s="197"/>
      <c r="Q246" s="180"/>
    </row>
    <row r="247" spans="1:17" s="50" customFormat="1" ht="25" customHeight="1">
      <c r="A247" s="427" t="s">
        <v>232</v>
      </c>
      <c r="B247" s="407" t="s">
        <v>153</v>
      </c>
      <c r="C247" s="409"/>
      <c r="D247" s="409"/>
      <c r="E247" s="409"/>
      <c r="F247" s="532"/>
      <c r="G247" s="409"/>
      <c r="H247" s="532"/>
      <c r="I247" s="197"/>
      <c r="J247" s="197"/>
      <c r="K247" s="197"/>
      <c r="L247" s="197"/>
      <c r="M247" s="197"/>
      <c r="N247" s="197"/>
      <c r="O247" s="197"/>
      <c r="P247" s="197"/>
      <c r="Q247" s="180"/>
    </row>
    <row r="248" spans="1:17" s="50" customFormat="1" ht="25" customHeight="1">
      <c r="A248" s="427" t="s">
        <v>233</v>
      </c>
      <c r="B248" s="407" t="s">
        <v>154</v>
      </c>
      <c r="C248" s="409"/>
      <c r="D248" s="409"/>
      <c r="E248" s="409"/>
      <c r="F248" s="532"/>
      <c r="G248" s="409"/>
      <c r="H248" s="532"/>
      <c r="I248" s="197"/>
      <c r="J248" s="197"/>
      <c r="K248" s="197"/>
      <c r="L248" s="197"/>
      <c r="M248" s="197"/>
      <c r="N248" s="197"/>
      <c r="O248" s="197"/>
      <c r="P248" s="197"/>
      <c r="Q248" s="180"/>
    </row>
    <row r="249" spans="1:17" s="50" customFormat="1" ht="25" customHeight="1">
      <c r="A249" s="427" t="s">
        <v>234</v>
      </c>
      <c r="B249" s="407" t="s">
        <v>155</v>
      </c>
      <c r="C249" s="409"/>
      <c r="D249" s="409"/>
      <c r="E249" s="409"/>
      <c r="F249" s="532"/>
      <c r="G249" s="409"/>
      <c r="H249" s="532"/>
      <c r="I249" s="197"/>
      <c r="J249" s="197"/>
      <c r="K249" s="197"/>
      <c r="L249" s="197"/>
      <c r="M249" s="197"/>
      <c r="N249" s="197"/>
      <c r="O249" s="197"/>
      <c r="P249" s="197"/>
      <c r="Q249" s="180"/>
    </row>
    <row r="250" spans="1:17" s="50" customFormat="1" ht="25" customHeight="1">
      <c r="A250" s="477">
        <v>2</v>
      </c>
      <c r="B250" s="477" t="s">
        <v>162</v>
      </c>
      <c r="C250" s="409"/>
      <c r="D250" s="409"/>
      <c r="E250" s="409"/>
      <c r="F250" s="532"/>
      <c r="G250" s="409"/>
      <c r="H250" s="532"/>
      <c r="I250" s="197"/>
      <c r="J250" s="197"/>
      <c r="K250" s="197"/>
      <c r="L250" s="197"/>
      <c r="M250" s="197"/>
      <c r="N250" s="197"/>
      <c r="O250" s="197"/>
      <c r="P250" s="197"/>
      <c r="Q250" s="180"/>
    </row>
    <row r="251" spans="1:17" s="50" customFormat="1" ht="25" customHeight="1">
      <c r="A251" s="434" t="s">
        <v>145</v>
      </c>
      <c r="B251" s="435" t="s">
        <v>163</v>
      </c>
      <c r="C251" s="409"/>
      <c r="D251" s="409"/>
      <c r="E251" s="409"/>
      <c r="F251" s="180"/>
      <c r="G251" s="409"/>
      <c r="H251" s="532"/>
      <c r="I251" s="196"/>
      <c r="J251" s="197"/>
      <c r="K251" s="197"/>
      <c r="L251" s="197"/>
      <c r="M251" s="197"/>
      <c r="N251" s="197"/>
      <c r="O251" s="197"/>
      <c r="P251" s="197"/>
      <c r="Q251" s="180"/>
    </row>
    <row r="252" spans="1:17" s="50" customFormat="1" ht="25" customHeight="1">
      <c r="A252" s="434"/>
      <c r="B252" s="435" t="s">
        <v>723</v>
      </c>
      <c r="C252" s="409"/>
      <c r="D252" s="409"/>
      <c r="E252" s="409"/>
      <c r="F252" s="414"/>
      <c r="G252" s="409"/>
      <c r="H252" s="409"/>
      <c r="I252" s="412"/>
      <c r="J252" s="363"/>
      <c r="K252" s="363"/>
      <c r="L252" s="363"/>
      <c r="M252" s="363"/>
      <c r="N252" s="363"/>
      <c r="O252" s="363"/>
      <c r="P252" s="363"/>
      <c r="Q252" s="414"/>
    </row>
    <row r="253" spans="1:17" s="50" customFormat="1" ht="25" customHeight="1">
      <c r="A253" s="407" t="s">
        <v>224</v>
      </c>
      <c r="B253" s="442" t="s">
        <v>428</v>
      </c>
      <c r="C253" s="409">
        <v>3</v>
      </c>
      <c r="D253" s="409">
        <v>1</v>
      </c>
      <c r="E253" s="409">
        <v>3</v>
      </c>
      <c r="F253" s="180">
        <f>I253+J253+K253</f>
        <v>222.75</v>
      </c>
      <c r="G253" s="409">
        <v>25</v>
      </c>
      <c r="H253" s="532">
        <f>C253*E253*G253</f>
        <v>225</v>
      </c>
      <c r="I253" s="196">
        <f>IF(G253&lt;70, C253*E253*16.5*1.5, C253*E253*16.5*1.5)</f>
        <v>222.75</v>
      </c>
      <c r="J253" s="197"/>
      <c r="K253" s="197"/>
      <c r="L253" s="197"/>
      <c r="M253" s="197"/>
      <c r="N253" s="197"/>
      <c r="O253" s="197"/>
      <c r="P253" s="197"/>
      <c r="Q253" s="180"/>
    </row>
    <row r="254" spans="1:17" s="50" customFormat="1" ht="25" customHeight="1">
      <c r="A254" s="407" t="s">
        <v>225</v>
      </c>
      <c r="B254" s="442" t="s">
        <v>429</v>
      </c>
      <c r="C254" s="409">
        <v>3</v>
      </c>
      <c r="D254" s="409">
        <v>1</v>
      </c>
      <c r="E254" s="409">
        <v>1</v>
      </c>
      <c r="F254" s="180">
        <f>I254+J254+K254</f>
        <v>74.25</v>
      </c>
      <c r="G254" s="409">
        <v>15</v>
      </c>
      <c r="H254" s="532">
        <f>C254*E254*G254</f>
        <v>45</v>
      </c>
      <c r="I254" s="196">
        <f>IF(G254&lt;70, C254*E254*16.5*1.5, C254*E254*16.5*1.5)</f>
        <v>74.25</v>
      </c>
      <c r="J254" s="197"/>
      <c r="K254" s="197"/>
      <c r="L254" s="197"/>
      <c r="M254" s="197"/>
      <c r="N254" s="197"/>
      <c r="O254" s="197"/>
      <c r="P254" s="197"/>
      <c r="Q254" s="180"/>
    </row>
    <row r="255" spans="1:17" s="50" customFormat="1" ht="25" customHeight="1">
      <c r="A255" s="407"/>
      <c r="B255" s="442" t="s">
        <v>679</v>
      </c>
      <c r="C255" s="409">
        <v>3</v>
      </c>
      <c r="D255" s="409">
        <v>1</v>
      </c>
      <c r="E255" s="409">
        <v>1</v>
      </c>
      <c r="F255" s="180">
        <f>I255+J255+K255</f>
        <v>74.25</v>
      </c>
      <c r="G255" s="409">
        <v>15</v>
      </c>
      <c r="H255" s="532">
        <f>C255*E255*G255</f>
        <v>45</v>
      </c>
      <c r="I255" s="196">
        <f>IF(G255&lt;70, C255*E255*16.5*1.5, C255*E255*16.5*1.5)</f>
        <v>74.25</v>
      </c>
      <c r="J255" s="197"/>
      <c r="K255" s="197"/>
      <c r="L255" s="197"/>
      <c r="M255" s="197"/>
      <c r="N255" s="197"/>
      <c r="O255" s="197"/>
      <c r="P255" s="197"/>
      <c r="Q255" s="180"/>
    </row>
    <row r="256" spans="1:17" s="50" customFormat="1" ht="25" customHeight="1">
      <c r="A256" s="407" t="s">
        <v>226</v>
      </c>
      <c r="B256" s="436" t="s">
        <v>430</v>
      </c>
      <c r="C256" s="409">
        <v>3</v>
      </c>
      <c r="D256" s="409">
        <v>1</v>
      </c>
      <c r="E256" s="409">
        <v>3</v>
      </c>
      <c r="F256" s="180">
        <f>I256+J256+K256</f>
        <v>222.75</v>
      </c>
      <c r="G256" s="409">
        <v>25</v>
      </c>
      <c r="H256" s="532">
        <f>C256*E256*G256</f>
        <v>225</v>
      </c>
      <c r="I256" s="196">
        <f>IF(G256&lt;70, C256*E256*16.5*1.5, C256*E256*16.5*1.5)</f>
        <v>222.75</v>
      </c>
      <c r="J256" s="197"/>
      <c r="K256" s="197"/>
      <c r="L256" s="197"/>
      <c r="M256" s="197"/>
      <c r="N256" s="197"/>
      <c r="O256" s="197"/>
      <c r="P256" s="197"/>
      <c r="Q256" s="180"/>
    </row>
    <row r="257" spans="1:17" s="50" customFormat="1" ht="25" customHeight="1">
      <c r="A257" s="425" t="s">
        <v>146</v>
      </c>
      <c r="B257" s="426" t="s">
        <v>680</v>
      </c>
      <c r="C257" s="409"/>
      <c r="D257" s="409"/>
      <c r="E257" s="409"/>
      <c r="F257" s="532"/>
      <c r="G257" s="409"/>
      <c r="H257" s="532"/>
      <c r="I257" s="197"/>
      <c r="J257" s="197"/>
      <c r="K257" s="197"/>
      <c r="L257" s="197"/>
      <c r="M257" s="197"/>
      <c r="N257" s="197"/>
      <c r="O257" s="197"/>
      <c r="P257" s="197"/>
      <c r="Q257" s="180"/>
    </row>
    <row r="258" spans="1:17" s="50" customFormat="1" ht="25" customHeight="1">
      <c r="A258" s="477">
        <v>3</v>
      </c>
      <c r="B258" s="477" t="s">
        <v>164</v>
      </c>
      <c r="C258" s="409"/>
      <c r="D258" s="409"/>
      <c r="E258" s="409"/>
      <c r="F258" s="532"/>
      <c r="G258" s="409"/>
      <c r="H258" s="532"/>
      <c r="I258" s="197"/>
      <c r="J258" s="197"/>
      <c r="K258" s="197"/>
      <c r="L258" s="197"/>
      <c r="M258" s="197"/>
      <c r="N258" s="197"/>
      <c r="O258" s="197"/>
      <c r="P258" s="197"/>
      <c r="Q258" s="180"/>
    </row>
    <row r="259" spans="1:17" s="50" customFormat="1" ht="25" customHeight="1">
      <c r="A259" s="434" t="s">
        <v>145</v>
      </c>
      <c r="B259" s="435" t="s">
        <v>165</v>
      </c>
      <c r="C259" s="409"/>
      <c r="D259" s="409"/>
      <c r="E259" s="409"/>
      <c r="F259" s="532"/>
      <c r="G259" s="409"/>
      <c r="H259" s="532"/>
      <c r="I259" s="197"/>
      <c r="J259" s="197"/>
      <c r="K259" s="197"/>
      <c r="L259" s="197"/>
      <c r="M259" s="197"/>
      <c r="N259" s="197"/>
      <c r="O259" s="197"/>
      <c r="P259" s="197"/>
      <c r="Q259" s="180"/>
    </row>
    <row r="260" spans="1:17" s="50" customFormat="1" ht="25" customHeight="1">
      <c r="A260" s="425" t="s">
        <v>146</v>
      </c>
      <c r="B260" s="426" t="s">
        <v>166</v>
      </c>
      <c r="C260" s="409"/>
      <c r="D260" s="409"/>
      <c r="E260" s="409"/>
      <c r="F260" s="532"/>
      <c r="G260" s="409"/>
      <c r="H260" s="404"/>
      <c r="I260" s="404"/>
      <c r="J260" s="197"/>
      <c r="K260" s="197"/>
      <c r="L260" s="197"/>
      <c r="M260" s="197"/>
      <c r="N260" s="197"/>
      <c r="O260" s="197"/>
      <c r="P260" s="197"/>
      <c r="Q260" s="180"/>
    </row>
    <row r="261" spans="1:17" s="50" customFormat="1" ht="25" customHeight="1">
      <c r="A261" s="425" t="s">
        <v>167</v>
      </c>
      <c r="B261" s="426" t="s">
        <v>168</v>
      </c>
      <c r="C261" s="409"/>
      <c r="D261" s="409"/>
      <c r="E261" s="409"/>
      <c r="F261" s="532"/>
      <c r="G261" s="409"/>
      <c r="H261" s="532"/>
      <c r="I261" s="197"/>
      <c r="J261" s="197"/>
      <c r="K261" s="197"/>
      <c r="L261" s="197"/>
      <c r="M261" s="197"/>
      <c r="N261" s="197"/>
      <c r="O261" s="197"/>
      <c r="P261" s="197"/>
      <c r="Q261" s="180"/>
    </row>
    <row r="262" spans="1:17" s="50" customFormat="1" ht="25" customHeight="1">
      <c r="A262" s="428"/>
      <c r="B262" s="429" t="s">
        <v>433</v>
      </c>
      <c r="C262" s="430">
        <f>SUM(C253:C261)</f>
        <v>12</v>
      </c>
      <c r="D262" s="430">
        <f t="shared" ref="D262:K262" si="40">SUM(D253:D261)</f>
        <v>4</v>
      </c>
      <c r="E262" s="430">
        <f t="shared" si="40"/>
        <v>8</v>
      </c>
      <c r="F262" s="430">
        <f t="shared" si="40"/>
        <v>594</v>
      </c>
      <c r="G262" s="430">
        <f t="shared" si="40"/>
        <v>80</v>
      </c>
      <c r="H262" s="430">
        <f t="shared" si="40"/>
        <v>540</v>
      </c>
      <c r="I262" s="430">
        <f t="shared" si="40"/>
        <v>594</v>
      </c>
      <c r="J262" s="430">
        <f t="shared" si="40"/>
        <v>0</v>
      </c>
      <c r="K262" s="430">
        <f t="shared" si="40"/>
        <v>0</v>
      </c>
      <c r="L262" s="197"/>
      <c r="M262" s="197"/>
      <c r="N262" s="197"/>
      <c r="O262" s="197"/>
      <c r="P262" s="197"/>
      <c r="Q262" s="180"/>
    </row>
    <row r="263" spans="1:17" s="50" customFormat="1" ht="25" customHeight="1">
      <c r="A263" s="477" t="s">
        <v>7</v>
      </c>
      <c r="B263" s="477" t="s">
        <v>222</v>
      </c>
      <c r="C263" s="409"/>
      <c r="D263" s="409"/>
      <c r="E263" s="409"/>
      <c r="F263" s="532"/>
      <c r="G263" s="409"/>
      <c r="H263" s="532"/>
      <c r="I263" s="197"/>
      <c r="J263" s="197"/>
      <c r="K263" s="197"/>
      <c r="L263" s="197"/>
      <c r="M263" s="197"/>
      <c r="N263" s="197"/>
      <c r="O263" s="197"/>
      <c r="P263" s="197"/>
      <c r="Q263" s="180"/>
    </row>
    <row r="264" spans="1:17" s="50" customFormat="1" ht="25" customHeight="1">
      <c r="A264" s="477">
        <v>1</v>
      </c>
      <c r="B264" s="435" t="s">
        <v>223</v>
      </c>
      <c r="C264" s="409"/>
      <c r="D264" s="409"/>
      <c r="E264" s="409"/>
      <c r="F264" s="180"/>
      <c r="G264" s="409"/>
      <c r="H264" s="532"/>
      <c r="I264" s="196"/>
      <c r="J264" s="197"/>
      <c r="K264" s="197"/>
      <c r="L264" s="197"/>
      <c r="M264" s="197"/>
      <c r="N264" s="197"/>
      <c r="O264" s="197"/>
      <c r="P264" s="197"/>
      <c r="Q264" s="180"/>
    </row>
    <row r="265" spans="1:17" s="50" customFormat="1" ht="25" customHeight="1">
      <c r="A265" s="477" t="s">
        <v>145</v>
      </c>
      <c r="B265" s="435" t="s">
        <v>161</v>
      </c>
      <c r="C265" s="409"/>
      <c r="D265" s="409"/>
      <c r="E265" s="409"/>
      <c r="F265" s="180"/>
      <c r="G265" s="409"/>
      <c r="H265" s="532"/>
      <c r="I265" s="196"/>
      <c r="J265" s="197"/>
      <c r="K265" s="197"/>
      <c r="L265" s="197"/>
      <c r="M265" s="197"/>
      <c r="N265" s="197"/>
      <c r="O265" s="197"/>
      <c r="P265" s="197"/>
      <c r="Q265" s="180"/>
    </row>
    <row r="266" spans="1:17" s="50" customFormat="1" ht="25" customHeight="1">
      <c r="A266" s="477"/>
      <c r="B266" s="435" t="s">
        <v>724</v>
      </c>
      <c r="C266" s="409"/>
      <c r="D266" s="409"/>
      <c r="E266" s="409"/>
      <c r="F266" s="414"/>
      <c r="G266" s="409"/>
      <c r="H266" s="409"/>
      <c r="I266" s="412"/>
      <c r="J266" s="363"/>
      <c r="K266" s="363"/>
      <c r="L266" s="363"/>
      <c r="M266" s="363"/>
      <c r="N266" s="363"/>
      <c r="O266" s="363"/>
      <c r="P266" s="363"/>
      <c r="Q266" s="414"/>
    </row>
    <row r="267" spans="1:17" s="50" customFormat="1" ht="25" customHeight="1">
      <c r="A267" s="427" t="s">
        <v>224</v>
      </c>
      <c r="B267" s="442" t="s">
        <v>681</v>
      </c>
      <c r="C267" s="409">
        <v>5</v>
      </c>
      <c r="D267" s="409">
        <v>1</v>
      </c>
      <c r="E267" s="409">
        <v>16</v>
      </c>
      <c r="F267" s="180">
        <f t="shared" ref="F267:F276" si="41">I267+J267+K267</f>
        <v>1320</v>
      </c>
      <c r="G267" s="409">
        <v>60</v>
      </c>
      <c r="H267" s="532">
        <f>C267*E267*G267</f>
        <v>4800</v>
      </c>
      <c r="I267" s="196">
        <f t="shared" ref="I267:I276" si="42">IF(G267&lt;70, C267*E267*16.5*1, C267*E267*16.5*1.3)</f>
        <v>1320</v>
      </c>
      <c r="J267" s="197"/>
      <c r="K267" s="197"/>
      <c r="L267" s="197"/>
      <c r="M267" s="197"/>
      <c r="N267" s="197"/>
      <c r="O267" s="197"/>
      <c r="P267" s="197"/>
      <c r="Q267" s="180"/>
    </row>
    <row r="268" spans="1:17" s="50" customFormat="1" ht="25" customHeight="1">
      <c r="A268" s="427"/>
      <c r="B268" s="468" t="s">
        <v>726</v>
      </c>
      <c r="C268" s="409"/>
      <c r="D268" s="409"/>
      <c r="E268" s="409"/>
      <c r="F268" s="414"/>
      <c r="G268" s="409"/>
      <c r="H268" s="409"/>
      <c r="I268" s="412"/>
      <c r="J268" s="363"/>
      <c r="K268" s="363"/>
      <c r="L268" s="363"/>
      <c r="M268" s="363"/>
      <c r="N268" s="363"/>
      <c r="O268" s="363"/>
      <c r="P268" s="363"/>
      <c r="Q268" s="414"/>
    </row>
    <row r="269" spans="1:17" s="50" customFormat="1" ht="25" customHeight="1">
      <c r="A269" s="427" t="s">
        <v>225</v>
      </c>
      <c r="B269" s="442" t="s">
        <v>431</v>
      </c>
      <c r="C269" s="409">
        <v>5</v>
      </c>
      <c r="D269" s="409">
        <v>1</v>
      </c>
      <c r="E269" s="409">
        <v>7</v>
      </c>
      <c r="F269" s="180">
        <f t="shared" si="41"/>
        <v>577.5</v>
      </c>
      <c r="G269" s="409">
        <v>60</v>
      </c>
      <c r="H269" s="532">
        <f t="shared" ref="H269:H276" si="43">C269*E269*G269</f>
        <v>2100</v>
      </c>
      <c r="I269" s="196">
        <f t="shared" si="42"/>
        <v>577.5</v>
      </c>
      <c r="J269" s="197"/>
      <c r="K269" s="197"/>
      <c r="L269" s="197"/>
      <c r="M269" s="197"/>
      <c r="N269" s="197"/>
      <c r="O269" s="197"/>
      <c r="P269" s="197"/>
      <c r="Q269" s="180"/>
    </row>
    <row r="270" spans="1:17" s="50" customFormat="1" ht="25" customHeight="1">
      <c r="A270" s="427" t="s">
        <v>226</v>
      </c>
      <c r="B270" s="442" t="s">
        <v>420</v>
      </c>
      <c r="C270" s="409">
        <v>3</v>
      </c>
      <c r="D270" s="409">
        <v>1</v>
      </c>
      <c r="E270" s="409">
        <v>16</v>
      </c>
      <c r="F270" s="180">
        <f t="shared" si="41"/>
        <v>792</v>
      </c>
      <c r="G270" s="409">
        <v>60</v>
      </c>
      <c r="H270" s="532">
        <f t="shared" si="43"/>
        <v>2880</v>
      </c>
      <c r="I270" s="196">
        <f t="shared" si="42"/>
        <v>792</v>
      </c>
      <c r="J270" s="197"/>
      <c r="K270" s="197"/>
      <c r="L270" s="197"/>
      <c r="M270" s="197"/>
      <c r="N270" s="197"/>
      <c r="O270" s="197"/>
      <c r="P270" s="197"/>
      <c r="Q270" s="180"/>
    </row>
    <row r="271" spans="1:17" s="50" customFormat="1" ht="25" customHeight="1">
      <c r="A271" s="427"/>
      <c r="B271" s="468" t="s">
        <v>725</v>
      </c>
      <c r="C271" s="409"/>
      <c r="D271" s="409"/>
      <c r="E271" s="409"/>
      <c r="F271" s="414"/>
      <c r="G271" s="409"/>
      <c r="H271" s="409"/>
      <c r="I271" s="412"/>
      <c r="J271" s="363"/>
      <c r="K271" s="363"/>
      <c r="L271" s="363"/>
      <c r="M271" s="363"/>
      <c r="N271" s="363"/>
      <c r="O271" s="363"/>
      <c r="P271" s="363"/>
      <c r="Q271" s="414"/>
    </row>
    <row r="272" spans="1:17" s="50" customFormat="1" ht="25" customHeight="1">
      <c r="A272" s="427" t="s">
        <v>227</v>
      </c>
      <c r="B272" s="442" t="s">
        <v>432</v>
      </c>
      <c r="C272" s="409">
        <v>3</v>
      </c>
      <c r="D272" s="409">
        <v>1</v>
      </c>
      <c r="E272" s="409">
        <v>7</v>
      </c>
      <c r="F272" s="180">
        <f t="shared" si="41"/>
        <v>346.5</v>
      </c>
      <c r="G272" s="409">
        <v>60</v>
      </c>
      <c r="H272" s="532">
        <f t="shared" si="43"/>
        <v>1260</v>
      </c>
      <c r="I272" s="196">
        <f t="shared" si="42"/>
        <v>346.5</v>
      </c>
      <c r="J272" s="197"/>
      <c r="K272" s="197"/>
      <c r="L272" s="197"/>
      <c r="M272" s="197"/>
      <c r="N272" s="197"/>
      <c r="O272" s="197"/>
      <c r="P272" s="197"/>
      <c r="Q272" s="180"/>
    </row>
    <row r="273" spans="1:17" s="50" customFormat="1" ht="25" customHeight="1">
      <c r="A273" s="427"/>
      <c r="B273" s="468" t="s">
        <v>727</v>
      </c>
      <c r="C273" s="409"/>
      <c r="D273" s="409"/>
      <c r="E273" s="409"/>
      <c r="F273" s="414"/>
      <c r="G273" s="409"/>
      <c r="H273" s="409"/>
      <c r="I273" s="412"/>
      <c r="J273" s="363"/>
      <c r="K273" s="363"/>
      <c r="L273" s="363"/>
      <c r="M273" s="363"/>
      <c r="N273" s="363"/>
      <c r="O273" s="363"/>
      <c r="P273" s="363"/>
      <c r="Q273" s="414"/>
    </row>
    <row r="274" spans="1:17" s="50" customFormat="1" ht="25" customHeight="1">
      <c r="A274" s="427" t="s">
        <v>228</v>
      </c>
      <c r="B274" s="442" t="s">
        <v>498</v>
      </c>
      <c r="C274" s="260">
        <v>5</v>
      </c>
      <c r="D274" s="260">
        <v>1</v>
      </c>
      <c r="E274" s="260">
        <v>7</v>
      </c>
      <c r="F274" s="180">
        <f t="shared" si="41"/>
        <v>577.5</v>
      </c>
      <c r="G274" s="260">
        <v>50</v>
      </c>
      <c r="H274" s="532">
        <f t="shared" si="43"/>
        <v>1750</v>
      </c>
      <c r="I274" s="196">
        <f t="shared" si="42"/>
        <v>577.5</v>
      </c>
      <c r="J274" s="197"/>
      <c r="K274" s="197"/>
      <c r="L274" s="197"/>
      <c r="M274" s="197"/>
      <c r="N274" s="197"/>
      <c r="O274" s="197"/>
      <c r="P274" s="197"/>
      <c r="Q274" s="180"/>
    </row>
    <row r="275" spans="1:17" s="50" customFormat="1" ht="25" customHeight="1">
      <c r="A275" s="427"/>
      <c r="B275" s="468" t="s">
        <v>723</v>
      </c>
      <c r="C275" s="260"/>
      <c r="D275" s="260"/>
      <c r="E275" s="260"/>
      <c r="F275" s="414"/>
      <c r="G275" s="260"/>
      <c r="H275" s="409"/>
      <c r="I275" s="412"/>
      <c r="J275" s="363"/>
      <c r="K275" s="363"/>
      <c r="L275" s="363"/>
      <c r="M275" s="363"/>
      <c r="N275" s="363"/>
      <c r="O275" s="363"/>
      <c r="P275" s="363"/>
      <c r="Q275" s="414"/>
    </row>
    <row r="276" spans="1:17" s="375" customFormat="1" ht="25" customHeight="1">
      <c r="A276" s="443" t="s">
        <v>229</v>
      </c>
      <c r="B276" s="444" t="s">
        <v>499</v>
      </c>
      <c r="C276" s="445">
        <v>5</v>
      </c>
      <c r="D276" s="445">
        <v>1</v>
      </c>
      <c r="E276" s="445">
        <v>16</v>
      </c>
      <c r="F276" s="446">
        <f t="shared" si="41"/>
        <v>1320</v>
      </c>
      <c r="G276" s="445">
        <v>50</v>
      </c>
      <c r="H276" s="482">
        <f t="shared" si="43"/>
        <v>4000</v>
      </c>
      <c r="I276" s="483">
        <f t="shared" si="42"/>
        <v>1320</v>
      </c>
      <c r="J276" s="380"/>
      <c r="K276" s="381"/>
      <c r="L276" s="381"/>
      <c r="M276" s="381"/>
      <c r="N276" s="484"/>
      <c r="O276" s="381"/>
      <c r="P276" s="381"/>
      <c r="Q276" s="446"/>
    </row>
    <row r="277" spans="1:17" s="375" customFormat="1" ht="25" customHeight="1">
      <c r="A277" s="428"/>
      <c r="B277" s="429" t="s">
        <v>375</v>
      </c>
      <c r="C277" s="430">
        <f>SUM(C267:C276)</f>
        <v>26</v>
      </c>
      <c r="D277" s="430">
        <f>SUM(D267:D276)</f>
        <v>6</v>
      </c>
      <c r="E277" s="430">
        <f>SUM(E267:E276)</f>
        <v>69</v>
      </c>
      <c r="F277" s="430">
        <f t="shared" ref="F277:K277" si="44">SUM(F267:F276)</f>
        <v>4933.5</v>
      </c>
      <c r="G277" s="430">
        <f t="shared" si="44"/>
        <v>340</v>
      </c>
      <c r="H277" s="430">
        <f t="shared" si="44"/>
        <v>16790</v>
      </c>
      <c r="I277" s="430">
        <f t="shared" si="44"/>
        <v>4933.5</v>
      </c>
      <c r="J277" s="430">
        <f t="shared" si="44"/>
        <v>0</v>
      </c>
      <c r="K277" s="430">
        <f t="shared" si="44"/>
        <v>0</v>
      </c>
      <c r="L277" s="450"/>
      <c r="M277" s="450"/>
      <c r="N277" s="454"/>
      <c r="O277" s="450"/>
      <c r="P277" s="450"/>
      <c r="Q277" s="451"/>
    </row>
    <row r="278" spans="1:17" s="50" customFormat="1" ht="25" customHeight="1">
      <c r="A278" s="479"/>
      <c r="B278" s="485" t="s">
        <v>434</v>
      </c>
      <c r="C278" s="364">
        <f>C243+C262+C277</f>
        <v>67</v>
      </c>
      <c r="D278" s="364">
        <f t="shared" ref="D278:K278" si="45">D243+D262+D277</f>
        <v>19</v>
      </c>
      <c r="E278" s="364">
        <f t="shared" si="45"/>
        <v>120</v>
      </c>
      <c r="F278" s="364">
        <f t="shared" si="45"/>
        <v>8380.35</v>
      </c>
      <c r="G278" s="364">
        <f t="shared" si="45"/>
        <v>1050</v>
      </c>
      <c r="H278" s="364">
        <f t="shared" si="45"/>
        <v>26640</v>
      </c>
      <c r="I278" s="364">
        <f t="shared" si="45"/>
        <v>8380.35</v>
      </c>
      <c r="J278" s="364">
        <f t="shared" si="45"/>
        <v>0</v>
      </c>
      <c r="K278" s="364">
        <f t="shared" si="45"/>
        <v>0</v>
      </c>
      <c r="L278" s="367">
        <f>'Bieu3 GDH'!F20</f>
        <v>1080</v>
      </c>
      <c r="M278" s="367">
        <f>'Bieu3 GDH'!N20</f>
        <v>1039.5</v>
      </c>
      <c r="N278" s="364">
        <f>I278-M278</f>
        <v>7340.85</v>
      </c>
      <c r="O278" s="367">
        <f>'Bieu3 GDH'!O20</f>
        <v>805.25</v>
      </c>
      <c r="P278" s="367">
        <f>'Bieu3 GDH'!P20</f>
        <v>370</v>
      </c>
      <c r="Q278" s="486" t="s">
        <v>689</v>
      </c>
    </row>
    <row r="279" spans="1:17" s="50" customFormat="1" ht="25" customHeight="1">
      <c r="A279" s="399" t="s">
        <v>5</v>
      </c>
      <c r="B279" s="399" t="s">
        <v>478</v>
      </c>
      <c r="C279" s="400"/>
      <c r="D279" s="400"/>
      <c r="E279" s="400"/>
      <c r="F279" s="401"/>
      <c r="G279" s="400"/>
      <c r="H279" s="400"/>
      <c r="I279" s="400"/>
      <c r="J279" s="400"/>
      <c r="K279" s="202"/>
      <c r="L279" s="199"/>
      <c r="M279" s="200"/>
      <c r="N279" s="200"/>
      <c r="O279" s="200"/>
      <c r="P279" s="200"/>
      <c r="Q279" s="200"/>
    </row>
    <row r="280" spans="1:17" s="50" customFormat="1" ht="25" customHeight="1">
      <c r="A280" s="399" t="s">
        <v>6</v>
      </c>
      <c r="B280" s="399" t="s">
        <v>221</v>
      </c>
      <c r="C280" s="400"/>
      <c r="D280" s="400"/>
      <c r="E280" s="400"/>
      <c r="F280" s="401"/>
      <c r="G280" s="400"/>
      <c r="H280" s="400"/>
      <c r="I280" s="400"/>
      <c r="J280" s="400"/>
      <c r="K280" s="202"/>
      <c r="L280" s="199"/>
      <c r="M280" s="200"/>
      <c r="N280" s="200"/>
      <c r="O280" s="200"/>
      <c r="P280" s="200"/>
      <c r="Q280" s="200"/>
    </row>
    <row r="281" spans="1:17" s="50" customFormat="1" ht="25" customHeight="1">
      <c r="A281" s="399">
        <v>1</v>
      </c>
      <c r="B281" s="399" t="s">
        <v>4</v>
      </c>
      <c r="C281" s="400"/>
      <c r="D281" s="400"/>
      <c r="E281" s="400"/>
      <c r="F281" s="401"/>
      <c r="G281" s="400"/>
      <c r="H281" s="400"/>
      <c r="I281" s="400"/>
      <c r="J281" s="400"/>
      <c r="K281" s="202"/>
      <c r="L281" s="199"/>
      <c r="M281" s="200"/>
      <c r="N281" s="200"/>
      <c r="O281" s="200"/>
      <c r="P281" s="200"/>
      <c r="Q281" s="200"/>
    </row>
    <row r="282" spans="1:17" s="50" customFormat="1" ht="25" customHeight="1">
      <c r="A282" s="402" t="s">
        <v>145</v>
      </c>
      <c r="B282" s="403" t="s">
        <v>159</v>
      </c>
      <c r="C282" s="404"/>
      <c r="D282" s="404"/>
      <c r="E282" s="404"/>
      <c r="F282" s="532"/>
      <c r="G282" s="404"/>
      <c r="H282" s="404"/>
      <c r="I282" s="405"/>
      <c r="J282" s="405"/>
      <c r="K282" s="202"/>
      <c r="L282" s="199"/>
      <c r="M282" s="200"/>
      <c r="N282" s="200"/>
      <c r="O282" s="200"/>
      <c r="P282" s="200"/>
      <c r="Q282" s="200"/>
    </row>
    <row r="283" spans="1:17" s="50" customFormat="1" ht="25" customHeight="1">
      <c r="A283" s="434"/>
      <c r="B283" s="435" t="s">
        <v>728</v>
      </c>
      <c r="C283" s="462"/>
      <c r="D283" s="462"/>
      <c r="E283" s="462"/>
      <c r="F283" s="409"/>
      <c r="G283" s="462"/>
      <c r="H283" s="462"/>
      <c r="I283" s="487"/>
      <c r="J283" s="487"/>
      <c r="K283" s="463"/>
      <c r="L283" s="440"/>
      <c r="M283" s="260"/>
      <c r="N283" s="260"/>
      <c r="O283" s="260"/>
      <c r="P283" s="260"/>
      <c r="Q283" s="260"/>
    </row>
    <row r="284" spans="1:17" s="50" customFormat="1" ht="25" customHeight="1">
      <c r="A284" s="362" t="s">
        <v>224</v>
      </c>
      <c r="B284" s="408" t="s">
        <v>435</v>
      </c>
      <c r="C284" s="409">
        <v>2</v>
      </c>
      <c r="D284" s="410">
        <v>1</v>
      </c>
      <c r="E284" s="409">
        <v>1</v>
      </c>
      <c r="F284" s="180">
        <f t="shared" ref="F284:F314" si="46">I284+J284+K284</f>
        <v>33</v>
      </c>
      <c r="G284" s="409">
        <v>40</v>
      </c>
      <c r="H284" s="532">
        <f>C284*E284*G284</f>
        <v>80</v>
      </c>
      <c r="I284" s="196">
        <f t="shared" ref="I284:I314" si="47">IF(G284&lt;70, C284*E284*16.5*1, C284*E284*16.5*1.3)</f>
        <v>33</v>
      </c>
      <c r="J284" s="487"/>
      <c r="K284" s="463"/>
      <c r="L284" s="199"/>
      <c r="M284" s="200"/>
      <c r="N284" s="200"/>
      <c r="O284" s="200"/>
      <c r="P284" s="200"/>
      <c r="Q284" s="200"/>
    </row>
    <row r="285" spans="1:17" s="50" customFormat="1" ht="25" customHeight="1">
      <c r="A285" s="362" t="s">
        <v>225</v>
      </c>
      <c r="B285" s="488" t="s">
        <v>436</v>
      </c>
      <c r="C285" s="409">
        <v>3</v>
      </c>
      <c r="D285" s="409">
        <v>1</v>
      </c>
      <c r="E285" s="409">
        <v>1</v>
      </c>
      <c r="F285" s="180">
        <f t="shared" si="46"/>
        <v>49.5</v>
      </c>
      <c r="G285" s="409">
        <v>20</v>
      </c>
      <c r="H285" s="532">
        <f t="shared" ref="H285:H314" si="48">C285*E285*G285</f>
        <v>60</v>
      </c>
      <c r="I285" s="196">
        <f t="shared" si="47"/>
        <v>49.5</v>
      </c>
      <c r="J285" s="487"/>
      <c r="K285" s="463"/>
      <c r="L285" s="199"/>
      <c r="M285" s="200"/>
      <c r="N285" s="200"/>
      <c r="O285" s="200"/>
      <c r="P285" s="200"/>
      <c r="Q285" s="200"/>
    </row>
    <row r="286" spans="1:17" s="50" customFormat="1" ht="25" customHeight="1">
      <c r="A286" s="362" t="s">
        <v>226</v>
      </c>
      <c r="B286" s="436" t="s">
        <v>437</v>
      </c>
      <c r="C286" s="409">
        <v>2</v>
      </c>
      <c r="D286" s="409">
        <v>1</v>
      </c>
      <c r="E286" s="409">
        <v>3</v>
      </c>
      <c r="F286" s="180">
        <f t="shared" si="46"/>
        <v>128.70000000000002</v>
      </c>
      <c r="G286" s="409">
        <v>80</v>
      </c>
      <c r="H286" s="532">
        <f t="shared" si="48"/>
        <v>480</v>
      </c>
      <c r="I286" s="196">
        <f t="shared" si="47"/>
        <v>128.70000000000002</v>
      </c>
      <c r="J286" s="363"/>
      <c r="K286" s="463"/>
      <c r="L286" s="199"/>
      <c r="M286" s="200"/>
      <c r="N286" s="200"/>
      <c r="O286" s="200"/>
      <c r="P286" s="200"/>
      <c r="Q286" s="200"/>
    </row>
    <row r="287" spans="1:17" s="50" customFormat="1" ht="25" customHeight="1">
      <c r="A287" s="362"/>
      <c r="B287" s="435" t="s">
        <v>729</v>
      </c>
      <c r="C287" s="409"/>
      <c r="D287" s="409"/>
      <c r="E287" s="409"/>
      <c r="F287" s="414"/>
      <c r="G287" s="409"/>
      <c r="H287" s="409"/>
      <c r="I287" s="412"/>
      <c r="J287" s="363"/>
      <c r="K287" s="463"/>
      <c r="L287" s="440"/>
      <c r="M287" s="260"/>
      <c r="N287" s="260"/>
      <c r="O287" s="260"/>
      <c r="P287" s="260"/>
      <c r="Q287" s="260"/>
    </row>
    <row r="288" spans="1:17" s="50" customFormat="1" ht="25" customHeight="1">
      <c r="A288" s="362" t="s">
        <v>227</v>
      </c>
      <c r="B288" s="408" t="s">
        <v>438</v>
      </c>
      <c r="C288" s="409">
        <v>3</v>
      </c>
      <c r="D288" s="409">
        <v>1</v>
      </c>
      <c r="E288" s="409">
        <v>1</v>
      </c>
      <c r="F288" s="180">
        <f t="shared" si="46"/>
        <v>64.350000000000009</v>
      </c>
      <c r="G288" s="409">
        <v>80</v>
      </c>
      <c r="H288" s="532">
        <f t="shared" si="48"/>
        <v>240</v>
      </c>
      <c r="I288" s="196">
        <f t="shared" si="47"/>
        <v>64.350000000000009</v>
      </c>
      <c r="J288" s="487"/>
      <c r="K288" s="463"/>
      <c r="L288" s="199"/>
      <c r="M288" s="200"/>
      <c r="N288" s="200"/>
      <c r="O288" s="200"/>
      <c r="P288" s="200"/>
      <c r="Q288" s="200"/>
    </row>
    <row r="289" spans="1:17" s="50" customFormat="1" ht="25" customHeight="1">
      <c r="A289" s="362" t="s">
        <v>228</v>
      </c>
      <c r="B289" s="436" t="s">
        <v>437</v>
      </c>
      <c r="C289" s="409">
        <v>2</v>
      </c>
      <c r="D289" s="409">
        <v>1</v>
      </c>
      <c r="E289" s="409">
        <v>2</v>
      </c>
      <c r="F289" s="180">
        <f t="shared" si="46"/>
        <v>85.8</v>
      </c>
      <c r="G289" s="409">
        <v>80</v>
      </c>
      <c r="H289" s="532">
        <f t="shared" si="48"/>
        <v>320</v>
      </c>
      <c r="I289" s="196">
        <f t="shared" si="47"/>
        <v>85.8</v>
      </c>
      <c r="J289" s="487"/>
      <c r="K289" s="463"/>
      <c r="L289" s="199"/>
      <c r="M289" s="200"/>
      <c r="N289" s="200"/>
      <c r="O289" s="200"/>
      <c r="P289" s="200"/>
      <c r="Q289" s="200"/>
    </row>
    <row r="290" spans="1:17" s="50" customFormat="1" ht="25" customHeight="1">
      <c r="A290" s="362"/>
      <c r="B290" s="435" t="s">
        <v>647</v>
      </c>
      <c r="C290" s="409"/>
      <c r="D290" s="409"/>
      <c r="E290" s="409"/>
      <c r="F290" s="414"/>
      <c r="G290" s="409"/>
      <c r="H290" s="409"/>
      <c r="I290" s="412"/>
      <c r="J290" s="487"/>
      <c r="K290" s="463"/>
      <c r="L290" s="440"/>
      <c r="M290" s="260"/>
      <c r="N290" s="260"/>
      <c r="O290" s="260"/>
      <c r="P290" s="260"/>
      <c r="Q290" s="260"/>
    </row>
    <row r="291" spans="1:17" s="50" customFormat="1" ht="25" customHeight="1">
      <c r="A291" s="362" t="s">
        <v>229</v>
      </c>
      <c r="B291" s="408" t="s">
        <v>435</v>
      </c>
      <c r="C291" s="409">
        <v>2</v>
      </c>
      <c r="D291" s="409">
        <v>1</v>
      </c>
      <c r="E291" s="409">
        <v>1</v>
      </c>
      <c r="F291" s="180">
        <f t="shared" si="46"/>
        <v>42.9</v>
      </c>
      <c r="G291" s="409">
        <v>80</v>
      </c>
      <c r="H291" s="532">
        <f t="shared" si="48"/>
        <v>160</v>
      </c>
      <c r="I291" s="196">
        <f t="shared" si="47"/>
        <v>42.9</v>
      </c>
      <c r="J291" s="487"/>
      <c r="K291" s="463"/>
      <c r="L291" s="199"/>
      <c r="M291" s="200"/>
      <c r="N291" s="200"/>
      <c r="O291" s="200"/>
      <c r="P291" s="200"/>
      <c r="Q291" s="200"/>
    </row>
    <row r="292" spans="1:17" s="50" customFormat="1" ht="25" customHeight="1">
      <c r="A292" s="362" t="s">
        <v>280</v>
      </c>
      <c r="B292" s="442" t="s">
        <v>439</v>
      </c>
      <c r="C292" s="412">
        <v>3</v>
      </c>
      <c r="D292" s="410">
        <v>1</v>
      </c>
      <c r="E292" s="412">
        <v>1</v>
      </c>
      <c r="F292" s="180">
        <f t="shared" si="46"/>
        <v>49.5</v>
      </c>
      <c r="G292" s="412">
        <v>40</v>
      </c>
      <c r="H292" s="532">
        <f t="shared" si="48"/>
        <v>120</v>
      </c>
      <c r="I292" s="196">
        <f t="shared" si="47"/>
        <v>49.5</v>
      </c>
      <c r="J292" s="487"/>
      <c r="K292" s="463"/>
      <c r="L292" s="199"/>
      <c r="M292" s="200"/>
      <c r="N292" s="200"/>
      <c r="O292" s="200"/>
      <c r="P292" s="200"/>
      <c r="Q292" s="200"/>
    </row>
    <row r="293" spans="1:17" s="50" customFormat="1" ht="25" customHeight="1">
      <c r="A293" s="362" t="s">
        <v>281</v>
      </c>
      <c r="B293" s="442" t="s">
        <v>440</v>
      </c>
      <c r="C293" s="412">
        <v>2</v>
      </c>
      <c r="D293" s="410">
        <v>1</v>
      </c>
      <c r="E293" s="412">
        <v>1</v>
      </c>
      <c r="F293" s="180">
        <f t="shared" si="46"/>
        <v>33</v>
      </c>
      <c r="G293" s="412">
        <v>40</v>
      </c>
      <c r="H293" s="532">
        <f t="shared" si="48"/>
        <v>80</v>
      </c>
      <c r="I293" s="196">
        <f t="shared" si="47"/>
        <v>33</v>
      </c>
      <c r="J293" s="487"/>
      <c r="K293" s="463"/>
      <c r="L293" s="199"/>
      <c r="M293" s="200"/>
      <c r="N293" s="200"/>
      <c r="O293" s="200"/>
      <c r="P293" s="200"/>
      <c r="Q293" s="200"/>
    </row>
    <row r="294" spans="1:17" s="50" customFormat="1" ht="25" customHeight="1">
      <c r="A294" s="362" t="s">
        <v>282</v>
      </c>
      <c r="B294" s="442" t="s">
        <v>441</v>
      </c>
      <c r="C294" s="412">
        <v>3</v>
      </c>
      <c r="D294" s="410">
        <v>1</v>
      </c>
      <c r="E294" s="412">
        <v>1</v>
      </c>
      <c r="F294" s="180">
        <f t="shared" si="46"/>
        <v>49.5</v>
      </c>
      <c r="G294" s="412">
        <v>30</v>
      </c>
      <c r="H294" s="532">
        <f t="shared" si="48"/>
        <v>90</v>
      </c>
      <c r="I294" s="196">
        <f t="shared" si="47"/>
        <v>49.5</v>
      </c>
      <c r="J294" s="487"/>
      <c r="K294" s="463"/>
      <c r="L294" s="199"/>
      <c r="M294" s="200"/>
      <c r="N294" s="200"/>
      <c r="O294" s="200"/>
      <c r="P294" s="200"/>
      <c r="Q294" s="200"/>
    </row>
    <row r="295" spans="1:17" s="50" customFormat="1" ht="25" customHeight="1">
      <c r="A295" s="362"/>
      <c r="B295" s="468" t="s">
        <v>648</v>
      </c>
      <c r="C295" s="412"/>
      <c r="D295" s="410"/>
      <c r="E295" s="412"/>
      <c r="F295" s="414"/>
      <c r="G295" s="412"/>
      <c r="H295" s="409"/>
      <c r="I295" s="412"/>
      <c r="J295" s="487"/>
      <c r="K295" s="463"/>
      <c r="L295" s="440"/>
      <c r="M295" s="260"/>
      <c r="N295" s="260"/>
      <c r="O295" s="260"/>
      <c r="P295" s="260"/>
      <c r="Q295" s="260"/>
    </row>
    <row r="296" spans="1:17" s="50" customFormat="1" ht="25" customHeight="1">
      <c r="A296" s="362" t="s">
        <v>283</v>
      </c>
      <c r="B296" s="442" t="s">
        <v>442</v>
      </c>
      <c r="C296" s="412">
        <v>4</v>
      </c>
      <c r="D296" s="410">
        <v>1</v>
      </c>
      <c r="E296" s="412">
        <v>1</v>
      </c>
      <c r="F296" s="180">
        <f t="shared" si="46"/>
        <v>66</v>
      </c>
      <c r="G296" s="412">
        <v>30</v>
      </c>
      <c r="H296" s="532">
        <f t="shared" si="48"/>
        <v>120</v>
      </c>
      <c r="I296" s="196">
        <f t="shared" si="47"/>
        <v>66</v>
      </c>
      <c r="J296" s="487"/>
      <c r="K296" s="463"/>
      <c r="L296" s="199"/>
      <c r="M296" s="200"/>
      <c r="N296" s="200"/>
      <c r="O296" s="200"/>
      <c r="P296" s="200"/>
      <c r="Q296" s="200"/>
    </row>
    <row r="297" spans="1:17" s="50" customFormat="1" ht="25" customHeight="1">
      <c r="A297" s="362" t="s">
        <v>284</v>
      </c>
      <c r="B297" s="408" t="s">
        <v>435</v>
      </c>
      <c r="C297" s="412">
        <v>2</v>
      </c>
      <c r="D297" s="410">
        <v>1</v>
      </c>
      <c r="E297" s="412">
        <v>1</v>
      </c>
      <c r="F297" s="180">
        <f t="shared" si="46"/>
        <v>42.9</v>
      </c>
      <c r="G297" s="412">
        <v>80</v>
      </c>
      <c r="H297" s="532">
        <f t="shared" si="48"/>
        <v>160</v>
      </c>
      <c r="I297" s="196">
        <f t="shared" si="47"/>
        <v>42.9</v>
      </c>
      <c r="J297" s="487"/>
      <c r="K297" s="463"/>
      <c r="L297" s="199"/>
      <c r="M297" s="200"/>
      <c r="N297" s="200"/>
      <c r="O297" s="200"/>
      <c r="P297" s="200"/>
      <c r="Q297" s="200"/>
    </row>
    <row r="298" spans="1:17" s="50" customFormat="1" ht="25" customHeight="1">
      <c r="A298" s="362" t="s">
        <v>287</v>
      </c>
      <c r="B298" s="436" t="s">
        <v>437</v>
      </c>
      <c r="C298" s="409">
        <v>2</v>
      </c>
      <c r="D298" s="409">
        <v>1</v>
      </c>
      <c r="E298" s="412">
        <v>1</v>
      </c>
      <c r="F298" s="180">
        <f t="shared" si="46"/>
        <v>42.9</v>
      </c>
      <c r="G298" s="409">
        <v>80</v>
      </c>
      <c r="H298" s="532">
        <f t="shared" si="48"/>
        <v>160</v>
      </c>
      <c r="I298" s="196">
        <f t="shared" si="47"/>
        <v>42.9</v>
      </c>
      <c r="J298" s="487"/>
      <c r="K298" s="463"/>
      <c r="L298" s="199"/>
      <c r="M298" s="200"/>
      <c r="N298" s="200"/>
      <c r="O298" s="200"/>
      <c r="P298" s="200"/>
      <c r="Q298" s="200"/>
    </row>
    <row r="299" spans="1:17" s="50" customFormat="1" ht="25" customHeight="1">
      <c r="A299" s="362" t="s">
        <v>288</v>
      </c>
      <c r="B299" s="442" t="s">
        <v>443</v>
      </c>
      <c r="C299" s="409">
        <v>4</v>
      </c>
      <c r="D299" s="409">
        <v>1</v>
      </c>
      <c r="E299" s="409">
        <v>1</v>
      </c>
      <c r="F299" s="180">
        <f t="shared" si="46"/>
        <v>66</v>
      </c>
      <c r="G299" s="409">
        <v>30</v>
      </c>
      <c r="H299" s="532">
        <f t="shared" si="48"/>
        <v>120</v>
      </c>
      <c r="I299" s="196">
        <f t="shared" si="47"/>
        <v>66</v>
      </c>
      <c r="J299" s="487"/>
      <c r="K299" s="463"/>
      <c r="L299" s="199"/>
      <c r="M299" s="200"/>
      <c r="N299" s="200"/>
      <c r="O299" s="200"/>
      <c r="P299" s="200"/>
      <c r="Q299" s="200"/>
    </row>
    <row r="300" spans="1:17" s="50" customFormat="1" ht="25" customHeight="1">
      <c r="A300" s="362" t="s">
        <v>289</v>
      </c>
      <c r="B300" s="442" t="s">
        <v>444</v>
      </c>
      <c r="C300" s="489">
        <v>4</v>
      </c>
      <c r="D300" s="415">
        <v>1</v>
      </c>
      <c r="E300" s="415">
        <v>1</v>
      </c>
      <c r="F300" s="180">
        <f t="shared" si="46"/>
        <v>66</v>
      </c>
      <c r="G300" s="415">
        <v>40</v>
      </c>
      <c r="H300" s="532">
        <f t="shared" si="48"/>
        <v>160</v>
      </c>
      <c r="I300" s="196">
        <f t="shared" si="47"/>
        <v>66</v>
      </c>
      <c r="J300" s="487"/>
      <c r="K300" s="463"/>
      <c r="L300" s="199"/>
      <c r="M300" s="200"/>
      <c r="N300" s="200"/>
      <c r="O300" s="200"/>
      <c r="P300" s="200"/>
      <c r="Q300" s="200"/>
    </row>
    <row r="301" spans="1:17" s="50" customFormat="1" ht="25" customHeight="1">
      <c r="A301" s="362"/>
      <c r="B301" s="468" t="s">
        <v>730</v>
      </c>
      <c r="C301" s="489"/>
      <c r="D301" s="415"/>
      <c r="E301" s="415"/>
      <c r="F301" s="414"/>
      <c r="G301" s="415"/>
      <c r="H301" s="409"/>
      <c r="I301" s="412"/>
      <c r="J301" s="487"/>
      <c r="K301" s="463"/>
      <c r="L301" s="440"/>
      <c r="M301" s="260"/>
      <c r="N301" s="260"/>
      <c r="O301" s="260"/>
      <c r="P301" s="260"/>
      <c r="Q301" s="260"/>
    </row>
    <row r="302" spans="1:17" s="50" customFormat="1" ht="25" customHeight="1">
      <c r="A302" s="362" t="s">
        <v>290</v>
      </c>
      <c r="B302" s="408" t="s">
        <v>435</v>
      </c>
      <c r="C302" s="489">
        <v>2</v>
      </c>
      <c r="D302" s="415">
        <v>1</v>
      </c>
      <c r="E302" s="415">
        <v>1</v>
      </c>
      <c r="F302" s="180">
        <f t="shared" si="46"/>
        <v>42.9</v>
      </c>
      <c r="G302" s="415">
        <v>89</v>
      </c>
      <c r="H302" s="532">
        <f t="shared" si="48"/>
        <v>178</v>
      </c>
      <c r="I302" s="196">
        <f t="shared" si="47"/>
        <v>42.9</v>
      </c>
      <c r="J302" s="487"/>
      <c r="K302" s="463"/>
      <c r="L302" s="199"/>
      <c r="M302" s="200"/>
      <c r="N302" s="200"/>
      <c r="O302" s="200"/>
      <c r="P302" s="200"/>
      <c r="Q302" s="200"/>
    </row>
    <row r="303" spans="1:17" s="50" customFormat="1" ht="25" customHeight="1">
      <c r="A303" s="362" t="s">
        <v>389</v>
      </c>
      <c r="B303" s="442" t="s">
        <v>445</v>
      </c>
      <c r="C303" s="489">
        <v>3</v>
      </c>
      <c r="D303" s="415">
        <v>1</v>
      </c>
      <c r="E303" s="415">
        <v>1</v>
      </c>
      <c r="F303" s="180">
        <f t="shared" si="46"/>
        <v>49.5</v>
      </c>
      <c r="G303" s="415">
        <v>40</v>
      </c>
      <c r="H303" s="532">
        <f t="shared" si="48"/>
        <v>120</v>
      </c>
      <c r="I303" s="196">
        <f t="shared" si="47"/>
        <v>49.5</v>
      </c>
      <c r="J303" s="363"/>
      <c r="K303" s="463"/>
      <c r="L303" s="199"/>
      <c r="M303" s="200"/>
      <c r="N303" s="200"/>
      <c r="O303" s="200"/>
      <c r="P303" s="200"/>
      <c r="Q303" s="200"/>
    </row>
    <row r="304" spans="1:17" s="50" customFormat="1" ht="25" customHeight="1">
      <c r="A304" s="362" t="s">
        <v>390</v>
      </c>
      <c r="B304" s="436" t="s">
        <v>437</v>
      </c>
      <c r="C304" s="409">
        <v>2</v>
      </c>
      <c r="D304" s="409">
        <v>1</v>
      </c>
      <c r="E304" s="409">
        <v>1</v>
      </c>
      <c r="F304" s="180">
        <f t="shared" si="46"/>
        <v>42.9</v>
      </c>
      <c r="G304" s="409">
        <v>80</v>
      </c>
      <c r="H304" s="532">
        <f t="shared" si="48"/>
        <v>160</v>
      </c>
      <c r="I304" s="196">
        <f t="shared" si="47"/>
        <v>42.9</v>
      </c>
      <c r="J304" s="363"/>
      <c r="K304" s="463"/>
      <c r="L304" s="199"/>
      <c r="M304" s="200"/>
      <c r="N304" s="200"/>
      <c r="O304" s="200"/>
      <c r="P304" s="200"/>
      <c r="Q304" s="200"/>
    </row>
    <row r="305" spans="1:17" s="50" customFormat="1" ht="25" customHeight="1">
      <c r="A305" s="362" t="s">
        <v>391</v>
      </c>
      <c r="B305" s="490" t="s">
        <v>446</v>
      </c>
      <c r="C305" s="409">
        <v>2</v>
      </c>
      <c r="D305" s="409">
        <v>1</v>
      </c>
      <c r="E305" s="409">
        <v>1</v>
      </c>
      <c r="F305" s="180">
        <f t="shared" si="46"/>
        <v>33</v>
      </c>
      <c r="G305" s="409">
        <v>40</v>
      </c>
      <c r="H305" s="532">
        <f t="shared" si="48"/>
        <v>80</v>
      </c>
      <c r="I305" s="196">
        <f t="shared" si="47"/>
        <v>33</v>
      </c>
      <c r="J305" s="363"/>
      <c r="K305" s="463"/>
      <c r="L305" s="199"/>
      <c r="M305" s="200"/>
      <c r="N305" s="200"/>
      <c r="O305" s="200"/>
      <c r="P305" s="200"/>
      <c r="Q305" s="200"/>
    </row>
    <row r="306" spans="1:17" s="50" customFormat="1" ht="25" customHeight="1">
      <c r="A306" s="362" t="s">
        <v>392</v>
      </c>
      <c r="B306" s="442" t="s">
        <v>447</v>
      </c>
      <c r="C306" s="409">
        <v>3</v>
      </c>
      <c r="D306" s="409">
        <v>1</v>
      </c>
      <c r="E306" s="409">
        <v>1</v>
      </c>
      <c r="F306" s="180">
        <f t="shared" si="46"/>
        <v>49.5</v>
      </c>
      <c r="G306" s="409">
        <v>40</v>
      </c>
      <c r="H306" s="532">
        <f t="shared" si="48"/>
        <v>120</v>
      </c>
      <c r="I306" s="196">
        <f t="shared" si="47"/>
        <v>49.5</v>
      </c>
      <c r="J306" s="363"/>
      <c r="K306" s="463"/>
      <c r="L306" s="199"/>
      <c r="M306" s="200"/>
      <c r="N306" s="200"/>
      <c r="O306" s="200"/>
      <c r="P306" s="200"/>
      <c r="Q306" s="200"/>
    </row>
    <row r="307" spans="1:17" s="50" customFormat="1" ht="25" customHeight="1">
      <c r="A307" s="362" t="s">
        <v>393</v>
      </c>
      <c r="B307" s="442" t="s">
        <v>448</v>
      </c>
      <c r="C307" s="409">
        <v>2</v>
      </c>
      <c r="D307" s="409">
        <v>1</v>
      </c>
      <c r="E307" s="409">
        <v>1</v>
      </c>
      <c r="F307" s="180">
        <f t="shared" si="46"/>
        <v>42.9</v>
      </c>
      <c r="G307" s="409">
        <v>80</v>
      </c>
      <c r="H307" s="532">
        <f t="shared" si="48"/>
        <v>160</v>
      </c>
      <c r="I307" s="196">
        <f t="shared" si="47"/>
        <v>42.9</v>
      </c>
      <c r="J307" s="363"/>
      <c r="K307" s="463"/>
      <c r="L307" s="199"/>
      <c r="M307" s="200"/>
      <c r="N307" s="200"/>
      <c r="O307" s="200"/>
      <c r="P307" s="200"/>
      <c r="Q307" s="200"/>
    </row>
    <row r="308" spans="1:17" s="50" customFormat="1" ht="25" customHeight="1">
      <c r="A308" s="362" t="s">
        <v>394</v>
      </c>
      <c r="B308" s="442" t="s">
        <v>440</v>
      </c>
      <c r="C308" s="412">
        <v>2</v>
      </c>
      <c r="D308" s="416">
        <v>1</v>
      </c>
      <c r="E308" s="416">
        <v>1</v>
      </c>
      <c r="F308" s="180">
        <f t="shared" si="46"/>
        <v>33</v>
      </c>
      <c r="G308" s="416">
        <v>40</v>
      </c>
      <c r="H308" s="532">
        <f t="shared" si="48"/>
        <v>80</v>
      </c>
      <c r="I308" s="196">
        <f t="shared" si="47"/>
        <v>33</v>
      </c>
      <c r="J308" s="363"/>
      <c r="K308" s="463"/>
      <c r="L308" s="199"/>
      <c r="M308" s="200"/>
      <c r="N308" s="200"/>
      <c r="O308" s="200"/>
      <c r="P308" s="200"/>
      <c r="Q308" s="200"/>
    </row>
    <row r="309" spans="1:17" s="50" customFormat="1" ht="25" customHeight="1">
      <c r="A309" s="362" t="s">
        <v>395</v>
      </c>
      <c r="B309" s="442" t="s">
        <v>448</v>
      </c>
      <c r="C309" s="409">
        <v>2</v>
      </c>
      <c r="D309" s="409">
        <v>1.3</v>
      </c>
      <c r="E309" s="409">
        <v>1</v>
      </c>
      <c r="F309" s="180">
        <f t="shared" si="46"/>
        <v>33</v>
      </c>
      <c r="G309" s="409">
        <v>40</v>
      </c>
      <c r="H309" s="532">
        <f t="shared" si="48"/>
        <v>80</v>
      </c>
      <c r="I309" s="196">
        <f t="shared" si="47"/>
        <v>33</v>
      </c>
      <c r="J309" s="363"/>
      <c r="K309" s="463"/>
      <c r="L309" s="199"/>
      <c r="M309" s="200"/>
      <c r="N309" s="200"/>
      <c r="O309" s="200"/>
      <c r="P309" s="200"/>
      <c r="Q309" s="200"/>
    </row>
    <row r="310" spans="1:17" s="50" customFormat="1" ht="25" customHeight="1">
      <c r="A310" s="362"/>
      <c r="B310" s="468" t="s">
        <v>731</v>
      </c>
      <c r="C310" s="409"/>
      <c r="D310" s="409"/>
      <c r="E310" s="409"/>
      <c r="F310" s="414"/>
      <c r="G310" s="409"/>
      <c r="H310" s="409"/>
      <c r="I310" s="412"/>
      <c r="J310" s="363"/>
      <c r="K310" s="463"/>
      <c r="L310" s="440"/>
      <c r="M310" s="260"/>
      <c r="N310" s="260"/>
      <c r="O310" s="260"/>
      <c r="P310" s="260"/>
      <c r="Q310" s="260"/>
    </row>
    <row r="311" spans="1:17" s="50" customFormat="1" ht="25" customHeight="1">
      <c r="A311" s="362" t="s">
        <v>396</v>
      </c>
      <c r="B311" s="442" t="s">
        <v>449</v>
      </c>
      <c r="C311" s="409">
        <v>4</v>
      </c>
      <c r="D311" s="409">
        <v>1</v>
      </c>
      <c r="E311" s="409">
        <v>1</v>
      </c>
      <c r="F311" s="180">
        <f t="shared" si="46"/>
        <v>66</v>
      </c>
      <c r="G311" s="409">
        <v>40</v>
      </c>
      <c r="H311" s="532">
        <f t="shared" si="48"/>
        <v>160</v>
      </c>
      <c r="I311" s="196">
        <f t="shared" si="47"/>
        <v>66</v>
      </c>
      <c r="J311" s="363"/>
      <c r="K311" s="463"/>
      <c r="L311" s="199"/>
      <c r="M311" s="200"/>
      <c r="N311" s="200"/>
      <c r="O311" s="200"/>
      <c r="P311" s="200"/>
      <c r="Q311" s="200"/>
    </row>
    <row r="312" spans="1:17" s="50" customFormat="1" ht="25" customHeight="1">
      <c r="A312" s="362" t="s">
        <v>397</v>
      </c>
      <c r="B312" s="442" t="s">
        <v>450</v>
      </c>
      <c r="C312" s="409">
        <v>4</v>
      </c>
      <c r="D312" s="409">
        <v>1</v>
      </c>
      <c r="E312" s="409">
        <v>1</v>
      </c>
      <c r="F312" s="180">
        <f t="shared" si="46"/>
        <v>66</v>
      </c>
      <c r="G312" s="409">
        <v>40</v>
      </c>
      <c r="H312" s="532">
        <f t="shared" si="48"/>
        <v>160</v>
      </c>
      <c r="I312" s="196">
        <f t="shared" si="47"/>
        <v>66</v>
      </c>
      <c r="J312" s="363"/>
      <c r="K312" s="463"/>
      <c r="L312" s="199"/>
      <c r="M312" s="200"/>
      <c r="N312" s="200"/>
      <c r="O312" s="200"/>
      <c r="P312" s="200"/>
      <c r="Q312" s="200"/>
    </row>
    <row r="313" spans="1:17" s="50" customFormat="1" ht="25" customHeight="1">
      <c r="A313" s="362" t="s">
        <v>398</v>
      </c>
      <c r="B313" s="442" t="s">
        <v>451</v>
      </c>
      <c r="C313" s="409">
        <v>3</v>
      </c>
      <c r="D313" s="409">
        <v>1</v>
      </c>
      <c r="E313" s="409">
        <v>1</v>
      </c>
      <c r="F313" s="180">
        <f t="shared" si="46"/>
        <v>49.5</v>
      </c>
      <c r="G313" s="409">
        <v>40</v>
      </c>
      <c r="H313" s="532">
        <f t="shared" si="48"/>
        <v>120</v>
      </c>
      <c r="I313" s="196">
        <f t="shared" si="47"/>
        <v>49.5</v>
      </c>
      <c r="J313" s="363"/>
      <c r="K313" s="463"/>
      <c r="L313" s="199"/>
      <c r="M313" s="200"/>
      <c r="N313" s="200"/>
      <c r="O313" s="200"/>
      <c r="P313" s="200"/>
      <c r="Q313" s="200"/>
    </row>
    <row r="314" spans="1:17" s="50" customFormat="1" ht="25" customHeight="1">
      <c r="A314" s="362" t="s">
        <v>399</v>
      </c>
      <c r="B314" s="442" t="s">
        <v>452</v>
      </c>
      <c r="C314" s="409">
        <v>1</v>
      </c>
      <c r="D314" s="409">
        <v>1.3</v>
      </c>
      <c r="E314" s="409">
        <v>1</v>
      </c>
      <c r="F314" s="180">
        <f t="shared" si="46"/>
        <v>16.5</v>
      </c>
      <c r="G314" s="409">
        <v>40</v>
      </c>
      <c r="H314" s="532">
        <f t="shared" si="48"/>
        <v>40</v>
      </c>
      <c r="I314" s="196">
        <f t="shared" si="47"/>
        <v>16.5</v>
      </c>
      <c r="J314" s="363"/>
      <c r="K314" s="463"/>
      <c r="L314" s="199"/>
      <c r="M314" s="200"/>
      <c r="N314" s="200"/>
      <c r="O314" s="200"/>
      <c r="P314" s="200"/>
      <c r="Q314" s="200"/>
    </row>
    <row r="315" spans="1:17" s="50" customFormat="1" ht="25" customHeight="1">
      <c r="A315" s="425" t="s">
        <v>146</v>
      </c>
      <c r="B315" s="426" t="s">
        <v>149</v>
      </c>
      <c r="C315" s="409"/>
      <c r="D315" s="409"/>
      <c r="E315" s="409"/>
      <c r="F315" s="532"/>
      <c r="G315" s="409"/>
      <c r="H315" s="532"/>
      <c r="I315" s="197"/>
      <c r="J315" s="363"/>
      <c r="K315" s="463"/>
      <c r="L315" s="199"/>
      <c r="M315" s="200"/>
      <c r="N315" s="200"/>
      <c r="O315" s="200"/>
      <c r="P315" s="200"/>
      <c r="Q315" s="200"/>
    </row>
    <row r="316" spans="1:17" s="50" customFormat="1" ht="25" customHeight="1">
      <c r="A316" s="427" t="s">
        <v>230</v>
      </c>
      <c r="B316" s="407" t="s">
        <v>152</v>
      </c>
      <c r="C316" s="409"/>
      <c r="D316" s="409"/>
      <c r="E316" s="409"/>
      <c r="F316" s="532"/>
      <c r="G316" s="409"/>
      <c r="H316" s="532"/>
      <c r="I316" s="197"/>
      <c r="J316" s="363"/>
      <c r="K316" s="463"/>
      <c r="L316" s="199"/>
      <c r="M316" s="200"/>
      <c r="N316" s="200"/>
      <c r="O316" s="200"/>
      <c r="P316" s="200"/>
      <c r="Q316" s="200"/>
    </row>
    <row r="317" spans="1:17" s="50" customFormat="1" ht="25" customHeight="1">
      <c r="A317" s="427" t="s">
        <v>231</v>
      </c>
      <c r="B317" s="407" t="s">
        <v>151</v>
      </c>
      <c r="C317" s="409"/>
      <c r="D317" s="409"/>
      <c r="E317" s="409"/>
      <c r="F317" s="532"/>
      <c r="G317" s="409"/>
      <c r="H317" s="532"/>
      <c r="I317" s="197"/>
      <c r="J317" s="363"/>
      <c r="K317" s="463"/>
      <c r="L317" s="199"/>
      <c r="M317" s="200"/>
      <c r="N317" s="200"/>
      <c r="O317" s="200"/>
      <c r="P317" s="200"/>
      <c r="Q317" s="200"/>
    </row>
    <row r="318" spans="1:17" s="50" customFormat="1" ht="25" customHeight="1">
      <c r="A318" s="443" t="s">
        <v>232</v>
      </c>
      <c r="B318" s="491" t="s">
        <v>690</v>
      </c>
      <c r="C318" s="445">
        <v>5</v>
      </c>
      <c r="D318" s="445" t="s">
        <v>649</v>
      </c>
      <c r="E318" s="445">
        <v>1</v>
      </c>
      <c r="F318" s="492">
        <f>I318+J318+K318</f>
        <v>42</v>
      </c>
      <c r="G318" s="445">
        <v>21</v>
      </c>
      <c r="H318" s="482">
        <f>C318*E318*G318</f>
        <v>105</v>
      </c>
      <c r="I318" s="493">
        <f>21*2</f>
        <v>42</v>
      </c>
      <c r="J318" s="447"/>
      <c r="K318" s="443"/>
      <c r="L318" s="199"/>
      <c r="M318" s="200"/>
      <c r="N318" s="200"/>
      <c r="O318" s="200"/>
      <c r="P318" s="200"/>
      <c r="Q318" s="200"/>
    </row>
    <row r="319" spans="1:17" s="50" customFormat="1" ht="25" customHeight="1">
      <c r="A319" s="443" t="s">
        <v>233</v>
      </c>
      <c r="B319" s="491" t="s">
        <v>154</v>
      </c>
      <c r="C319" s="445">
        <v>5</v>
      </c>
      <c r="D319" s="445" t="s">
        <v>649</v>
      </c>
      <c r="E319" s="445">
        <v>1</v>
      </c>
      <c r="F319" s="492">
        <f>I319+J319+K319</f>
        <v>42</v>
      </c>
      <c r="G319" s="445">
        <v>21</v>
      </c>
      <c r="H319" s="482">
        <f>C319*E319*G319</f>
        <v>105</v>
      </c>
      <c r="I319" s="493">
        <f>21*2</f>
        <v>42</v>
      </c>
      <c r="J319" s="447"/>
      <c r="K319" s="443"/>
      <c r="L319" s="199"/>
      <c r="M319" s="200"/>
      <c r="N319" s="200"/>
      <c r="O319" s="200"/>
      <c r="P319" s="200"/>
      <c r="Q319" s="200"/>
    </row>
    <row r="320" spans="1:17" s="50" customFormat="1" ht="25" customHeight="1">
      <c r="A320" s="427" t="s">
        <v>234</v>
      </c>
      <c r="B320" s="407" t="s">
        <v>155</v>
      </c>
      <c r="C320" s="409"/>
      <c r="D320" s="409"/>
      <c r="E320" s="409"/>
      <c r="F320" s="532"/>
      <c r="G320" s="409"/>
      <c r="H320" s="532"/>
      <c r="I320" s="197"/>
      <c r="J320" s="363"/>
      <c r="K320" s="463"/>
      <c r="L320" s="199"/>
      <c r="M320" s="200"/>
      <c r="N320" s="200"/>
      <c r="O320" s="200"/>
      <c r="P320" s="200"/>
      <c r="Q320" s="200"/>
    </row>
    <row r="321" spans="1:17" s="50" customFormat="1" ht="25" customHeight="1">
      <c r="A321" s="441"/>
      <c r="B321" s="494" t="s">
        <v>375</v>
      </c>
      <c r="C321" s="495">
        <f t="shared" ref="C321:K321" si="49">SUM(C284:C320)</f>
        <v>78</v>
      </c>
      <c r="D321" s="495">
        <f t="shared" si="49"/>
        <v>26.6</v>
      </c>
      <c r="E321" s="495">
        <f t="shared" si="49"/>
        <v>31</v>
      </c>
      <c r="F321" s="495">
        <f t="shared" si="49"/>
        <v>1428.75</v>
      </c>
      <c r="G321" s="495">
        <f t="shared" si="49"/>
        <v>1401</v>
      </c>
      <c r="H321" s="495">
        <f t="shared" si="49"/>
        <v>4018</v>
      </c>
      <c r="I321" s="495">
        <f t="shared" si="49"/>
        <v>1428.75</v>
      </c>
      <c r="J321" s="495">
        <f t="shared" si="49"/>
        <v>0</v>
      </c>
      <c r="K321" s="495">
        <f t="shared" si="49"/>
        <v>0</v>
      </c>
      <c r="L321" s="440"/>
      <c r="M321" s="260"/>
      <c r="N321" s="260"/>
      <c r="O321" s="260"/>
      <c r="P321" s="260"/>
      <c r="Q321" s="260"/>
    </row>
    <row r="322" spans="1:17" s="50" customFormat="1" ht="25" customHeight="1">
      <c r="A322" s="433">
        <v>2</v>
      </c>
      <c r="B322" s="433" t="s">
        <v>162</v>
      </c>
      <c r="C322" s="409"/>
      <c r="D322" s="409"/>
      <c r="E322" s="409"/>
      <c r="F322" s="532"/>
      <c r="G322" s="409"/>
      <c r="H322" s="532"/>
      <c r="I322" s="197"/>
      <c r="J322" s="363"/>
      <c r="K322" s="463"/>
      <c r="L322" s="199"/>
      <c r="M322" s="200"/>
      <c r="N322" s="200"/>
      <c r="O322" s="200"/>
      <c r="P322" s="200"/>
      <c r="Q322" s="200"/>
    </row>
    <row r="323" spans="1:17" s="50" customFormat="1" ht="25" customHeight="1">
      <c r="A323" s="434" t="s">
        <v>145</v>
      </c>
      <c r="B323" s="435" t="s">
        <v>163</v>
      </c>
      <c r="C323" s="409"/>
      <c r="D323" s="409"/>
      <c r="E323" s="409"/>
      <c r="F323" s="532"/>
      <c r="G323" s="409"/>
      <c r="H323" s="532"/>
      <c r="I323" s="197"/>
      <c r="J323" s="363"/>
      <c r="K323" s="463"/>
      <c r="L323" s="199"/>
      <c r="M323" s="200"/>
      <c r="N323" s="200"/>
      <c r="O323" s="200"/>
      <c r="P323" s="200"/>
      <c r="Q323" s="200"/>
    </row>
    <row r="324" spans="1:17" s="50" customFormat="1" ht="25" customHeight="1">
      <c r="A324" s="407" t="s">
        <v>224</v>
      </c>
      <c r="B324" s="436" t="s">
        <v>453</v>
      </c>
      <c r="C324" s="409">
        <v>3</v>
      </c>
      <c r="D324" s="409">
        <v>1</v>
      </c>
      <c r="E324" s="409">
        <v>6</v>
      </c>
      <c r="F324" s="180">
        <f t="shared" ref="F324:F336" si="50">I324+J324+K324</f>
        <v>445.5</v>
      </c>
      <c r="G324" s="409">
        <v>30</v>
      </c>
      <c r="H324" s="532">
        <f>C324*E324*G324</f>
        <v>540</v>
      </c>
      <c r="I324" s="196">
        <f>IF(G324&lt;70, C324*E324*16.5*1.5, C324*E324*16.5*1.5)</f>
        <v>445.5</v>
      </c>
      <c r="J324" s="363"/>
      <c r="K324" s="463"/>
      <c r="L324" s="199"/>
      <c r="M324" s="200"/>
      <c r="N324" s="200"/>
      <c r="O324" s="200"/>
      <c r="P324" s="200"/>
      <c r="Q324" s="200"/>
    </row>
    <row r="325" spans="1:17" s="50" customFormat="1" ht="25" customHeight="1">
      <c r="A325" s="407" t="s">
        <v>225</v>
      </c>
      <c r="B325" s="436" t="s">
        <v>454</v>
      </c>
      <c r="C325" s="409">
        <v>3</v>
      </c>
      <c r="D325" s="409">
        <v>1</v>
      </c>
      <c r="E325" s="409">
        <v>6</v>
      </c>
      <c r="F325" s="180">
        <f t="shared" si="50"/>
        <v>445.5</v>
      </c>
      <c r="G325" s="409">
        <v>30</v>
      </c>
      <c r="H325" s="532">
        <f t="shared" ref="H325:H336" si="51">C325*E325*G325</f>
        <v>540</v>
      </c>
      <c r="I325" s="196">
        <f t="shared" ref="I325:I331" si="52">IF(G325&lt;70, C325*E325*16.5*1.5, C325*E325*16.5*1.5)</f>
        <v>445.5</v>
      </c>
      <c r="J325" s="363"/>
      <c r="K325" s="463"/>
      <c r="L325" s="199"/>
      <c r="M325" s="200"/>
      <c r="N325" s="200"/>
      <c r="O325" s="200"/>
      <c r="P325" s="200"/>
      <c r="Q325" s="200"/>
    </row>
    <row r="326" spans="1:17" s="50" customFormat="1" ht="25" customHeight="1">
      <c r="A326" s="407" t="s">
        <v>226</v>
      </c>
      <c r="B326" s="436" t="s">
        <v>455</v>
      </c>
      <c r="C326" s="409">
        <v>3</v>
      </c>
      <c r="D326" s="409">
        <v>1</v>
      </c>
      <c r="E326" s="409">
        <v>1</v>
      </c>
      <c r="F326" s="180">
        <f t="shared" si="50"/>
        <v>74.25</v>
      </c>
      <c r="G326" s="409">
        <v>30</v>
      </c>
      <c r="H326" s="532">
        <f t="shared" si="51"/>
        <v>90</v>
      </c>
      <c r="I326" s="196">
        <f t="shared" si="52"/>
        <v>74.25</v>
      </c>
      <c r="J326" s="363"/>
      <c r="K326" s="463"/>
      <c r="L326" s="199"/>
      <c r="M326" s="200"/>
      <c r="N326" s="200"/>
      <c r="O326" s="200"/>
      <c r="P326" s="200"/>
      <c r="Q326" s="200"/>
    </row>
    <row r="327" spans="1:17" s="50" customFormat="1" ht="25" customHeight="1">
      <c r="A327" s="407" t="s">
        <v>227</v>
      </c>
      <c r="B327" s="436" t="s">
        <v>456</v>
      </c>
      <c r="C327" s="409">
        <v>3</v>
      </c>
      <c r="D327" s="409">
        <v>1</v>
      </c>
      <c r="E327" s="409">
        <v>1</v>
      </c>
      <c r="F327" s="180">
        <f t="shared" si="50"/>
        <v>74.25</v>
      </c>
      <c r="G327" s="409">
        <v>30</v>
      </c>
      <c r="H327" s="532">
        <f t="shared" si="51"/>
        <v>90</v>
      </c>
      <c r="I327" s="196">
        <f t="shared" si="52"/>
        <v>74.25</v>
      </c>
      <c r="J327" s="363"/>
      <c r="K327" s="463"/>
      <c r="L327" s="199"/>
      <c r="M327" s="200"/>
      <c r="N327" s="200"/>
      <c r="O327" s="200"/>
      <c r="P327" s="200"/>
      <c r="Q327" s="200"/>
    </row>
    <row r="328" spans="1:17" s="50" customFormat="1" ht="25" customHeight="1">
      <c r="A328" s="407" t="s">
        <v>228</v>
      </c>
      <c r="B328" s="437" t="s">
        <v>457</v>
      </c>
      <c r="C328" s="409">
        <v>3</v>
      </c>
      <c r="D328" s="409">
        <v>1</v>
      </c>
      <c r="E328" s="409">
        <v>6</v>
      </c>
      <c r="F328" s="180">
        <f t="shared" si="50"/>
        <v>445.5</v>
      </c>
      <c r="G328" s="409">
        <v>30</v>
      </c>
      <c r="H328" s="532">
        <f t="shared" si="51"/>
        <v>540</v>
      </c>
      <c r="I328" s="196">
        <f t="shared" si="52"/>
        <v>445.5</v>
      </c>
      <c r="J328" s="363"/>
      <c r="K328" s="463"/>
      <c r="L328" s="199"/>
      <c r="M328" s="200"/>
      <c r="N328" s="200"/>
      <c r="O328" s="200"/>
      <c r="P328" s="200"/>
      <c r="Q328" s="200"/>
    </row>
    <row r="329" spans="1:17" s="50" customFormat="1" ht="25" customHeight="1">
      <c r="A329" s="407" t="s">
        <v>229</v>
      </c>
      <c r="B329" s="437" t="s">
        <v>458</v>
      </c>
      <c r="C329" s="409">
        <v>3</v>
      </c>
      <c r="D329" s="409">
        <v>1</v>
      </c>
      <c r="E329" s="409">
        <v>6</v>
      </c>
      <c r="F329" s="180">
        <f t="shared" si="50"/>
        <v>445.5</v>
      </c>
      <c r="G329" s="409">
        <v>30</v>
      </c>
      <c r="H329" s="532">
        <f t="shared" si="51"/>
        <v>540</v>
      </c>
      <c r="I329" s="196">
        <f t="shared" si="52"/>
        <v>445.5</v>
      </c>
      <c r="J329" s="363"/>
      <c r="K329" s="425"/>
      <c r="L329" s="403"/>
      <c r="M329" s="496"/>
      <c r="N329" s="496"/>
      <c r="O329" s="496"/>
      <c r="P329" s="496"/>
      <c r="Q329" s="496"/>
    </row>
    <row r="330" spans="1:17" s="50" customFormat="1" ht="25" customHeight="1">
      <c r="A330" s="407" t="s">
        <v>280</v>
      </c>
      <c r="B330" s="437" t="s">
        <v>459</v>
      </c>
      <c r="C330" s="409">
        <v>3</v>
      </c>
      <c r="D330" s="409">
        <v>1</v>
      </c>
      <c r="E330" s="409">
        <v>1</v>
      </c>
      <c r="F330" s="180">
        <f t="shared" si="50"/>
        <v>74.25</v>
      </c>
      <c r="G330" s="409">
        <v>30</v>
      </c>
      <c r="H330" s="532">
        <f t="shared" si="51"/>
        <v>90</v>
      </c>
      <c r="I330" s="196">
        <f t="shared" si="52"/>
        <v>74.25</v>
      </c>
      <c r="J330" s="363"/>
      <c r="K330" s="433"/>
      <c r="L330" s="399"/>
      <c r="M330" s="496"/>
      <c r="N330" s="496"/>
      <c r="O330" s="496"/>
      <c r="P330" s="496"/>
      <c r="Q330" s="496"/>
    </row>
    <row r="331" spans="1:17" s="50" customFormat="1" ht="25" customHeight="1">
      <c r="A331" s="407" t="s">
        <v>281</v>
      </c>
      <c r="B331" s="437" t="s">
        <v>460</v>
      </c>
      <c r="C331" s="409">
        <v>3</v>
      </c>
      <c r="D331" s="409">
        <v>1</v>
      </c>
      <c r="E331" s="409">
        <v>1</v>
      </c>
      <c r="F331" s="180">
        <f t="shared" si="50"/>
        <v>74.25</v>
      </c>
      <c r="G331" s="409">
        <v>30</v>
      </c>
      <c r="H331" s="532">
        <f t="shared" si="51"/>
        <v>90</v>
      </c>
      <c r="I331" s="196">
        <f t="shared" si="52"/>
        <v>74.25</v>
      </c>
      <c r="J331" s="363"/>
      <c r="K331" s="425"/>
      <c r="L331" s="399"/>
      <c r="M331" s="496"/>
      <c r="N331" s="496"/>
      <c r="O331" s="496"/>
      <c r="P331" s="496"/>
      <c r="Q331" s="496"/>
    </row>
    <row r="332" spans="1:17" s="50" customFormat="1" ht="25" customHeight="1">
      <c r="A332" s="407" t="s">
        <v>282</v>
      </c>
      <c r="B332" s="437" t="s">
        <v>461</v>
      </c>
      <c r="C332" s="409">
        <v>3</v>
      </c>
      <c r="D332" s="409">
        <v>1</v>
      </c>
      <c r="E332" s="409">
        <v>6</v>
      </c>
      <c r="F332" s="180">
        <f t="shared" si="50"/>
        <v>445.5</v>
      </c>
      <c r="G332" s="409">
        <v>30</v>
      </c>
      <c r="H332" s="532">
        <f t="shared" si="51"/>
        <v>540</v>
      </c>
      <c r="I332" s="229"/>
      <c r="J332" s="412">
        <f>IF(G332&lt;70, C332*E332*16.5*1.5, C332*E332*16.5*1.5)</f>
        <v>445.5</v>
      </c>
      <c r="K332" s="433"/>
      <c r="L332" s="399"/>
      <c r="M332" s="496"/>
      <c r="N332" s="496"/>
      <c r="O332" s="496"/>
      <c r="P332" s="496"/>
      <c r="Q332" s="496"/>
    </row>
    <row r="333" spans="1:17" s="50" customFormat="1" ht="25" customHeight="1">
      <c r="A333" s="407" t="s">
        <v>283</v>
      </c>
      <c r="B333" s="437" t="s">
        <v>462</v>
      </c>
      <c r="C333" s="409">
        <v>3</v>
      </c>
      <c r="D333" s="409">
        <v>1</v>
      </c>
      <c r="E333" s="409">
        <v>6</v>
      </c>
      <c r="F333" s="180">
        <f t="shared" si="50"/>
        <v>445.5</v>
      </c>
      <c r="G333" s="409">
        <v>30</v>
      </c>
      <c r="H333" s="532">
        <f t="shared" si="51"/>
        <v>540</v>
      </c>
      <c r="I333" s="229"/>
      <c r="J333" s="412">
        <f>IF(G333&lt;70, C333*E333*16.5*1.5, C333*E333*16.5*1.5)</f>
        <v>445.5</v>
      </c>
      <c r="K333" s="433"/>
      <c r="L333" s="399"/>
      <c r="M333" s="496"/>
      <c r="N333" s="496"/>
      <c r="O333" s="496"/>
      <c r="P333" s="496"/>
      <c r="Q333" s="496"/>
    </row>
    <row r="334" spans="1:17" s="464" customFormat="1" ht="25" customHeight="1">
      <c r="A334" s="407" t="s">
        <v>284</v>
      </c>
      <c r="B334" s="437" t="s">
        <v>463</v>
      </c>
      <c r="C334" s="409">
        <v>3</v>
      </c>
      <c r="D334" s="409">
        <v>1</v>
      </c>
      <c r="E334" s="409">
        <v>1</v>
      </c>
      <c r="F334" s="180">
        <f t="shared" si="50"/>
        <v>74.25</v>
      </c>
      <c r="G334" s="409">
        <v>30</v>
      </c>
      <c r="H334" s="532">
        <f t="shared" si="51"/>
        <v>90</v>
      </c>
      <c r="I334" s="497"/>
      <c r="J334" s="412">
        <f>IF(G334&lt;70, C334*E334*16.5*1.5, C334*E334*16.5*1.5)</f>
        <v>74.25</v>
      </c>
      <c r="K334" s="427"/>
      <c r="L334" s="498"/>
      <c r="M334" s="496"/>
      <c r="N334" s="496"/>
      <c r="O334" s="496"/>
      <c r="P334" s="496"/>
      <c r="Q334" s="496"/>
    </row>
    <row r="335" spans="1:17" s="464" customFormat="1" ht="25" customHeight="1">
      <c r="A335" s="407" t="s">
        <v>287</v>
      </c>
      <c r="B335" s="437" t="s">
        <v>464</v>
      </c>
      <c r="C335" s="409">
        <v>3</v>
      </c>
      <c r="D335" s="409">
        <v>1</v>
      </c>
      <c r="E335" s="409">
        <v>1</v>
      </c>
      <c r="F335" s="180">
        <f t="shared" si="50"/>
        <v>74.25</v>
      </c>
      <c r="G335" s="409">
        <v>30</v>
      </c>
      <c r="H335" s="532">
        <f t="shared" si="51"/>
        <v>90</v>
      </c>
      <c r="I335" s="497"/>
      <c r="J335" s="412">
        <f>IF(G335&lt;70, C335*E335*16.5*1.5, C335*E335*16.5*1.5)</f>
        <v>74.25</v>
      </c>
      <c r="K335" s="427"/>
      <c r="L335" s="498"/>
      <c r="M335" s="496"/>
      <c r="N335" s="496"/>
      <c r="O335" s="496"/>
      <c r="P335" s="496"/>
      <c r="Q335" s="496"/>
    </row>
    <row r="336" spans="1:17" s="464" customFormat="1" ht="25" customHeight="1">
      <c r="A336" s="407" t="s">
        <v>288</v>
      </c>
      <c r="B336" s="437" t="s">
        <v>458</v>
      </c>
      <c r="C336" s="409">
        <v>3</v>
      </c>
      <c r="D336" s="409">
        <v>1</v>
      </c>
      <c r="E336" s="409">
        <v>1</v>
      </c>
      <c r="F336" s="180">
        <f t="shared" si="50"/>
        <v>74.25</v>
      </c>
      <c r="G336" s="409">
        <v>30</v>
      </c>
      <c r="H336" s="532">
        <f t="shared" si="51"/>
        <v>90</v>
      </c>
      <c r="I336" s="197"/>
      <c r="J336" s="412">
        <f>IF(G336&lt;70, C336*E336*16.5*1.5, C336*E336*16.5*1.5)</f>
        <v>74.25</v>
      </c>
      <c r="K336" s="499"/>
      <c r="L336" s="500"/>
      <c r="M336" s="501"/>
      <c r="N336" s="501"/>
      <c r="O336" s="501"/>
      <c r="P336" s="501"/>
      <c r="Q336" s="501"/>
    </row>
    <row r="337" spans="1:17" s="464" customFormat="1" ht="25" customHeight="1">
      <c r="A337" s="425" t="s">
        <v>146</v>
      </c>
      <c r="B337" s="426" t="s">
        <v>500</v>
      </c>
      <c r="C337" s="409"/>
      <c r="D337" s="409"/>
      <c r="E337" s="409"/>
      <c r="F337" s="532"/>
      <c r="G337" s="409"/>
      <c r="H337" s="532"/>
      <c r="I337" s="197"/>
      <c r="J337" s="363"/>
      <c r="K337" s="499"/>
      <c r="L337" s="500"/>
      <c r="M337" s="501"/>
      <c r="N337" s="501"/>
      <c r="O337" s="501"/>
      <c r="P337" s="501"/>
      <c r="Q337" s="501"/>
    </row>
    <row r="338" spans="1:17" s="464" customFormat="1" ht="25" customHeight="1">
      <c r="A338" s="427" t="s">
        <v>505</v>
      </c>
      <c r="B338" s="407" t="s">
        <v>466</v>
      </c>
      <c r="C338" s="409">
        <v>15</v>
      </c>
      <c r="D338" s="409">
        <v>1</v>
      </c>
      <c r="E338" s="409">
        <v>1</v>
      </c>
      <c r="F338" s="180">
        <f>I338+J338+K338</f>
        <v>175</v>
      </c>
      <c r="G338" s="409">
        <v>5</v>
      </c>
      <c r="H338" s="532">
        <f>C338*G338</f>
        <v>75</v>
      </c>
      <c r="I338" s="196">
        <f>G338*35</f>
        <v>175</v>
      </c>
      <c r="J338" s="363"/>
      <c r="K338" s="499"/>
      <c r="L338" s="502"/>
      <c r="M338" s="502"/>
      <c r="N338" s="502"/>
      <c r="O338" s="502"/>
      <c r="P338" s="502"/>
      <c r="Q338" s="502"/>
    </row>
    <row r="339" spans="1:17" s="464" customFormat="1" ht="25" customHeight="1">
      <c r="A339" s="427" t="s">
        <v>506</v>
      </c>
      <c r="B339" s="407" t="s">
        <v>650</v>
      </c>
      <c r="C339" s="409">
        <v>15</v>
      </c>
      <c r="D339" s="409">
        <v>1</v>
      </c>
      <c r="E339" s="409">
        <v>1</v>
      </c>
      <c r="F339" s="180">
        <f t="shared" ref="F339:F351" si="53">I339+J339+K339</f>
        <v>245</v>
      </c>
      <c r="G339" s="409">
        <v>7</v>
      </c>
      <c r="H339" s="532">
        <f t="shared" ref="H339:H350" si="54">C339*G339</f>
        <v>105</v>
      </c>
      <c r="I339" s="196"/>
      <c r="J339" s="412">
        <v>245</v>
      </c>
      <c r="K339" s="499"/>
      <c r="L339" s="501"/>
      <c r="M339" s="501"/>
      <c r="N339" s="501"/>
      <c r="O339" s="501"/>
      <c r="P339" s="501"/>
      <c r="Q339" s="501"/>
    </row>
    <row r="340" spans="1:17" s="464" customFormat="1" ht="25" customHeight="1">
      <c r="A340" s="427" t="s">
        <v>507</v>
      </c>
      <c r="B340" s="407" t="s">
        <v>467</v>
      </c>
      <c r="C340" s="409">
        <v>15</v>
      </c>
      <c r="D340" s="409">
        <v>1</v>
      </c>
      <c r="E340" s="409">
        <v>1</v>
      </c>
      <c r="F340" s="180">
        <f t="shared" si="53"/>
        <v>175</v>
      </c>
      <c r="G340" s="409">
        <v>5</v>
      </c>
      <c r="H340" s="532">
        <f t="shared" si="54"/>
        <v>75</v>
      </c>
      <c r="I340" s="196">
        <f>G340*35</f>
        <v>175</v>
      </c>
      <c r="J340" s="412"/>
      <c r="K340" s="499"/>
      <c r="L340" s="503"/>
      <c r="M340" s="503"/>
      <c r="N340" s="503"/>
      <c r="O340" s="503"/>
      <c r="P340" s="503"/>
      <c r="Q340" s="503"/>
    </row>
    <row r="341" spans="1:17" s="464" customFormat="1" ht="25" customHeight="1">
      <c r="A341" s="427" t="s">
        <v>508</v>
      </c>
      <c r="B341" s="407" t="s">
        <v>468</v>
      </c>
      <c r="C341" s="409">
        <v>15</v>
      </c>
      <c r="D341" s="409">
        <v>1</v>
      </c>
      <c r="E341" s="409">
        <v>1</v>
      </c>
      <c r="F341" s="180">
        <f t="shared" si="53"/>
        <v>175</v>
      </c>
      <c r="G341" s="409">
        <v>5</v>
      </c>
      <c r="H341" s="532">
        <f t="shared" si="54"/>
        <v>75</v>
      </c>
      <c r="I341" s="197"/>
      <c r="J341" s="412">
        <f>G341*35</f>
        <v>175</v>
      </c>
      <c r="K341" s="499"/>
      <c r="L341" s="500"/>
      <c r="M341" s="1894"/>
      <c r="N341" s="1894"/>
      <c r="O341" s="1894"/>
      <c r="P341" s="1894"/>
      <c r="Q341" s="1894"/>
    </row>
    <row r="342" spans="1:17" s="464" customFormat="1" ht="25" customHeight="1">
      <c r="A342" s="427" t="s">
        <v>509</v>
      </c>
      <c r="B342" s="407" t="s">
        <v>469</v>
      </c>
      <c r="C342" s="409">
        <v>15</v>
      </c>
      <c r="D342" s="409">
        <v>1</v>
      </c>
      <c r="E342" s="409">
        <v>1</v>
      </c>
      <c r="F342" s="180">
        <f t="shared" si="53"/>
        <v>175</v>
      </c>
      <c r="G342" s="409">
        <v>5</v>
      </c>
      <c r="H342" s="532">
        <f t="shared" si="54"/>
        <v>75</v>
      </c>
      <c r="I342" s="197"/>
      <c r="J342" s="412">
        <f>G342*35</f>
        <v>175</v>
      </c>
      <c r="K342" s="499"/>
      <c r="L342" s="500"/>
      <c r="M342" s="501"/>
      <c r="N342" s="501"/>
      <c r="O342" s="501"/>
      <c r="P342" s="501"/>
      <c r="Q342" s="501"/>
    </row>
    <row r="343" spans="1:17" ht="25" customHeight="1">
      <c r="A343" s="427" t="s">
        <v>510</v>
      </c>
      <c r="B343" s="407" t="s">
        <v>501</v>
      </c>
      <c r="C343" s="409">
        <v>15</v>
      </c>
      <c r="D343" s="409">
        <v>1</v>
      </c>
      <c r="E343" s="409">
        <v>1</v>
      </c>
      <c r="F343" s="180">
        <f t="shared" si="53"/>
        <v>175</v>
      </c>
      <c r="G343" s="409">
        <v>5</v>
      </c>
      <c r="H343" s="532">
        <f t="shared" si="54"/>
        <v>75</v>
      </c>
      <c r="I343" s="196">
        <f t="shared" ref="I343:I350" si="55">G343*35</f>
        <v>175</v>
      </c>
      <c r="J343" s="504"/>
      <c r="K343" s="499"/>
      <c r="L343" s="500"/>
      <c r="M343" s="501"/>
      <c r="N343" s="501"/>
      <c r="O343" s="501"/>
      <c r="P343" s="501"/>
      <c r="Q343" s="501"/>
    </row>
    <row r="344" spans="1:17" ht="25" customHeight="1">
      <c r="A344" s="427" t="s">
        <v>511</v>
      </c>
      <c r="B344" s="407" t="s">
        <v>502</v>
      </c>
      <c r="C344" s="409">
        <v>15</v>
      </c>
      <c r="D344" s="409">
        <v>1</v>
      </c>
      <c r="E344" s="409">
        <v>1</v>
      </c>
      <c r="F344" s="180">
        <f t="shared" si="53"/>
        <v>175</v>
      </c>
      <c r="G344" s="409">
        <v>5</v>
      </c>
      <c r="H344" s="532">
        <f t="shared" si="54"/>
        <v>75</v>
      </c>
      <c r="I344" s="196">
        <f t="shared" si="55"/>
        <v>175</v>
      </c>
      <c r="J344" s="504"/>
      <c r="K344" s="499"/>
      <c r="L344" s="500"/>
      <c r="M344" s="505"/>
      <c r="N344" s="505"/>
      <c r="O344" s="505"/>
      <c r="P344" s="505"/>
      <c r="Q344" s="505"/>
    </row>
    <row r="345" spans="1:17" ht="25" customHeight="1">
      <c r="A345" s="427" t="s">
        <v>512</v>
      </c>
      <c r="B345" s="440" t="s">
        <v>503</v>
      </c>
      <c r="C345" s="409">
        <v>15</v>
      </c>
      <c r="D345" s="409">
        <v>1</v>
      </c>
      <c r="E345" s="409">
        <v>1</v>
      </c>
      <c r="F345" s="180">
        <f t="shared" si="53"/>
        <v>175</v>
      </c>
      <c r="G345" s="409">
        <v>5</v>
      </c>
      <c r="H345" s="532">
        <f t="shared" si="54"/>
        <v>75</v>
      </c>
      <c r="I345" s="196">
        <f t="shared" si="55"/>
        <v>175</v>
      </c>
      <c r="J345" s="506"/>
      <c r="K345" s="499"/>
      <c r="L345" s="500"/>
      <c r="M345" s="505"/>
      <c r="N345" s="505"/>
      <c r="O345" s="505"/>
      <c r="P345" s="505"/>
      <c r="Q345" s="505"/>
    </row>
    <row r="346" spans="1:17" ht="25" customHeight="1">
      <c r="A346" s="427" t="s">
        <v>513</v>
      </c>
      <c r="B346" s="440" t="s">
        <v>504</v>
      </c>
      <c r="C346" s="409">
        <v>15</v>
      </c>
      <c r="D346" s="409">
        <v>1</v>
      </c>
      <c r="E346" s="409">
        <v>1</v>
      </c>
      <c r="F346" s="180">
        <f t="shared" si="53"/>
        <v>175</v>
      </c>
      <c r="G346" s="409">
        <v>5</v>
      </c>
      <c r="H346" s="532">
        <f t="shared" si="54"/>
        <v>75</v>
      </c>
      <c r="I346" s="196">
        <f t="shared" si="55"/>
        <v>175</v>
      </c>
      <c r="J346" s="412"/>
      <c r="K346" s="499"/>
      <c r="L346" s="500"/>
      <c r="M346" s="505"/>
      <c r="N346" s="505"/>
      <c r="O346" s="505"/>
      <c r="P346" s="505"/>
      <c r="Q346" s="505"/>
    </row>
    <row r="347" spans="1:17" ht="25" customHeight="1">
      <c r="A347" s="427" t="s">
        <v>514</v>
      </c>
      <c r="B347" s="440" t="s">
        <v>551</v>
      </c>
      <c r="C347" s="409">
        <v>15</v>
      </c>
      <c r="D347" s="409">
        <v>1</v>
      </c>
      <c r="E347" s="409">
        <v>1</v>
      </c>
      <c r="F347" s="180">
        <f t="shared" si="53"/>
        <v>175</v>
      </c>
      <c r="G347" s="409">
        <v>5</v>
      </c>
      <c r="H347" s="532">
        <f t="shared" si="54"/>
        <v>75</v>
      </c>
      <c r="I347" s="196">
        <f t="shared" si="55"/>
        <v>175</v>
      </c>
      <c r="J347" s="412"/>
      <c r="K347" s="499"/>
      <c r="L347" s="500"/>
      <c r="M347" s="505"/>
      <c r="N347" s="505"/>
      <c r="O347" s="505"/>
      <c r="P347" s="505"/>
      <c r="Q347" s="505"/>
    </row>
    <row r="348" spans="1:17" ht="25" customHeight="1">
      <c r="A348" s="427" t="s">
        <v>651</v>
      </c>
      <c r="B348" s="440" t="s">
        <v>652</v>
      </c>
      <c r="C348" s="409">
        <v>15</v>
      </c>
      <c r="D348" s="409">
        <v>1</v>
      </c>
      <c r="E348" s="409">
        <v>1</v>
      </c>
      <c r="F348" s="180">
        <f t="shared" si="53"/>
        <v>175</v>
      </c>
      <c r="G348" s="409">
        <v>5</v>
      </c>
      <c r="H348" s="532">
        <f t="shared" si="54"/>
        <v>75</v>
      </c>
      <c r="I348" s="196">
        <f t="shared" si="55"/>
        <v>175</v>
      </c>
      <c r="J348" s="412"/>
      <c r="K348" s="499"/>
      <c r="L348" s="500"/>
      <c r="M348" s="505"/>
      <c r="N348" s="505"/>
      <c r="O348" s="505"/>
      <c r="P348" s="505"/>
      <c r="Q348" s="505"/>
    </row>
    <row r="349" spans="1:17" ht="25" customHeight="1">
      <c r="A349" s="427" t="s">
        <v>653</v>
      </c>
      <c r="B349" s="440" t="s">
        <v>654</v>
      </c>
      <c r="C349" s="409">
        <v>15</v>
      </c>
      <c r="D349" s="409">
        <v>1</v>
      </c>
      <c r="E349" s="409">
        <v>1</v>
      </c>
      <c r="F349" s="180">
        <f t="shared" si="53"/>
        <v>140</v>
      </c>
      <c r="G349" s="409">
        <v>2</v>
      </c>
      <c r="H349" s="532">
        <f>C349*G349</f>
        <v>30</v>
      </c>
      <c r="I349" s="196">
        <f t="shared" si="55"/>
        <v>70</v>
      </c>
      <c r="J349" s="412">
        <f>G349*35</f>
        <v>70</v>
      </c>
      <c r="K349" s="499"/>
      <c r="L349" s="500"/>
      <c r="M349" s="505"/>
      <c r="N349" s="505"/>
      <c r="O349" s="505"/>
      <c r="P349" s="505"/>
      <c r="Q349" s="505"/>
    </row>
    <row r="350" spans="1:17" ht="25" customHeight="1">
      <c r="A350" s="427" t="s">
        <v>655</v>
      </c>
      <c r="B350" s="440" t="s">
        <v>656</v>
      </c>
      <c r="C350" s="409">
        <v>15</v>
      </c>
      <c r="D350" s="409">
        <v>1</v>
      </c>
      <c r="E350" s="409">
        <v>1</v>
      </c>
      <c r="F350" s="180">
        <f t="shared" si="53"/>
        <v>140</v>
      </c>
      <c r="G350" s="409">
        <v>2</v>
      </c>
      <c r="H350" s="532">
        <f t="shared" si="54"/>
        <v>30</v>
      </c>
      <c r="I350" s="196">
        <f t="shared" si="55"/>
        <v>70</v>
      </c>
      <c r="J350" s="412">
        <f>G350*35</f>
        <v>70</v>
      </c>
      <c r="K350" s="499"/>
      <c r="L350" s="500"/>
      <c r="M350" s="507"/>
      <c r="N350" s="507"/>
      <c r="O350" s="507"/>
      <c r="P350" s="507"/>
      <c r="Q350" s="507"/>
    </row>
    <row r="351" spans="1:17" ht="25" customHeight="1">
      <c r="A351" s="479"/>
      <c r="B351" s="508" t="s">
        <v>657</v>
      </c>
      <c r="C351" s="409">
        <v>15</v>
      </c>
      <c r="D351" s="409">
        <v>1</v>
      </c>
      <c r="E351" s="409">
        <v>1</v>
      </c>
      <c r="F351" s="180">
        <f t="shared" si="53"/>
        <v>2030</v>
      </c>
      <c r="G351" s="409">
        <v>58</v>
      </c>
      <c r="H351" s="532">
        <f>C351*G351</f>
        <v>870</v>
      </c>
      <c r="I351" s="196"/>
      <c r="J351" s="412"/>
      <c r="K351" s="412">
        <f>G351*35</f>
        <v>2030</v>
      </c>
      <c r="L351" s="500"/>
      <c r="M351" s="501"/>
      <c r="N351" s="501"/>
      <c r="O351" s="501"/>
      <c r="P351" s="501"/>
      <c r="Q351" s="501"/>
    </row>
    <row r="352" spans="1:17" ht="25" customHeight="1">
      <c r="A352" s="428"/>
      <c r="B352" s="429" t="s">
        <v>375</v>
      </c>
      <c r="C352" s="430">
        <f>SUM(C324:C351)</f>
        <v>249</v>
      </c>
      <c r="D352" s="430">
        <f t="shared" ref="D352:K352" si="56">SUM(D324:D351)</f>
        <v>27</v>
      </c>
      <c r="E352" s="430">
        <f t="shared" si="56"/>
        <v>57</v>
      </c>
      <c r="F352" s="430">
        <f t="shared" si="56"/>
        <v>7497.75</v>
      </c>
      <c r="G352" s="430">
        <f t="shared" si="56"/>
        <v>509</v>
      </c>
      <c r="H352" s="430">
        <f t="shared" si="56"/>
        <v>5655</v>
      </c>
      <c r="I352" s="430">
        <f t="shared" si="56"/>
        <v>3619</v>
      </c>
      <c r="J352" s="430">
        <f t="shared" si="56"/>
        <v>1848.75</v>
      </c>
      <c r="K352" s="430">
        <f t="shared" si="56"/>
        <v>2030</v>
      </c>
      <c r="L352" s="500"/>
      <c r="M352" s="501"/>
      <c r="N352" s="501"/>
      <c r="O352" s="501"/>
      <c r="P352" s="501"/>
      <c r="Q352" s="501"/>
    </row>
    <row r="353" spans="1:17" ht="25" customHeight="1">
      <c r="A353" s="433">
        <v>3</v>
      </c>
      <c r="B353" s="433" t="s">
        <v>164</v>
      </c>
      <c r="C353" s="409"/>
      <c r="D353" s="409"/>
      <c r="E353" s="409"/>
      <c r="F353" s="180"/>
      <c r="G353" s="409"/>
      <c r="H353" s="532"/>
      <c r="I353" s="196"/>
      <c r="J353" s="363"/>
      <c r="K353" s="499"/>
      <c r="L353" s="500"/>
      <c r="M353" s="501"/>
      <c r="N353" s="501"/>
      <c r="O353" s="501"/>
      <c r="P353" s="501"/>
      <c r="Q353" s="501"/>
    </row>
    <row r="354" spans="1:17" ht="25" customHeight="1">
      <c r="A354" s="434" t="s">
        <v>145</v>
      </c>
      <c r="B354" s="435" t="s">
        <v>165</v>
      </c>
      <c r="C354" s="409"/>
      <c r="D354" s="409"/>
      <c r="E354" s="409"/>
      <c r="F354" s="180"/>
      <c r="G354" s="409"/>
      <c r="H354" s="532"/>
      <c r="I354" s="196"/>
      <c r="J354" s="363"/>
      <c r="K354" s="499"/>
      <c r="L354" s="500"/>
      <c r="M354" s="501"/>
      <c r="N354" s="501"/>
      <c r="O354" s="501"/>
      <c r="P354" s="501"/>
      <c r="Q354" s="501"/>
    </row>
    <row r="355" spans="1:17" ht="25" customHeight="1">
      <c r="A355" s="407" t="s">
        <v>224</v>
      </c>
      <c r="B355" s="436" t="s">
        <v>470</v>
      </c>
      <c r="C355" s="409">
        <v>3</v>
      </c>
      <c r="D355" s="409">
        <v>1</v>
      </c>
      <c r="E355" s="409">
        <v>1</v>
      </c>
      <c r="F355" s="532">
        <f>I355+J355+K355</f>
        <v>99</v>
      </c>
      <c r="G355" s="409">
        <v>11</v>
      </c>
      <c r="H355" s="532">
        <f>C355*E355*G355</f>
        <v>33</v>
      </c>
      <c r="I355" s="196">
        <f>IF(G355&lt;70, C355*E355*16.5*2, C355*E355*16.5*2)</f>
        <v>99</v>
      </c>
      <c r="J355" s="363"/>
      <c r="K355" s="499"/>
      <c r="L355" s="500"/>
      <c r="M355" s="501"/>
      <c r="N355" s="501"/>
      <c r="O355" s="501"/>
      <c r="P355" s="501"/>
      <c r="Q355" s="501"/>
    </row>
    <row r="356" spans="1:17" ht="25" customHeight="1">
      <c r="A356" s="407" t="s">
        <v>225</v>
      </c>
      <c r="B356" s="436" t="s">
        <v>471</v>
      </c>
      <c r="C356" s="409">
        <v>3</v>
      </c>
      <c r="D356" s="409">
        <v>1</v>
      </c>
      <c r="E356" s="409">
        <v>1</v>
      </c>
      <c r="F356" s="532">
        <f>I356+J356+K356</f>
        <v>99</v>
      </c>
      <c r="G356" s="409">
        <v>11</v>
      </c>
      <c r="H356" s="532">
        <f>C356*E356*G356</f>
        <v>33</v>
      </c>
      <c r="I356" s="196">
        <f>IF(G356&lt;70, C356*E356*16.5*2, C356*E356*16.5*2)</f>
        <v>99</v>
      </c>
      <c r="J356" s="363"/>
      <c r="K356" s="499"/>
      <c r="L356" s="500"/>
      <c r="M356" s="501"/>
      <c r="N356" s="501"/>
      <c r="O356" s="501"/>
      <c r="P356" s="501"/>
      <c r="Q356" s="501"/>
    </row>
    <row r="357" spans="1:17" ht="25" customHeight="1">
      <c r="A357" s="427" t="s">
        <v>472</v>
      </c>
      <c r="B357" s="407" t="s">
        <v>473</v>
      </c>
      <c r="C357" s="409">
        <v>3</v>
      </c>
      <c r="D357" s="409">
        <v>1</v>
      </c>
      <c r="E357" s="409">
        <v>1</v>
      </c>
      <c r="F357" s="532">
        <f>I357+J357+K357</f>
        <v>99</v>
      </c>
      <c r="G357" s="409">
        <v>11</v>
      </c>
      <c r="H357" s="532">
        <f>C357*E357*G357</f>
        <v>33</v>
      </c>
      <c r="I357" s="196">
        <f>IF(G357&lt;70, C357*E357*16.5*2, C357*E357*16.5*2)</f>
        <v>99</v>
      </c>
      <c r="J357" s="363"/>
      <c r="K357" s="499"/>
      <c r="L357" s="500"/>
      <c r="M357" s="501"/>
      <c r="N357" s="501"/>
      <c r="O357" s="501"/>
      <c r="P357" s="501"/>
      <c r="Q357" s="501"/>
    </row>
    <row r="358" spans="1:17" ht="25" customHeight="1">
      <c r="A358" s="425" t="s">
        <v>146</v>
      </c>
      <c r="B358" s="426" t="s">
        <v>166</v>
      </c>
      <c r="C358" s="409"/>
      <c r="D358" s="409"/>
      <c r="E358" s="409"/>
      <c r="F358" s="180"/>
      <c r="G358" s="409"/>
      <c r="H358" s="532"/>
      <c r="I358" s="197"/>
      <c r="J358" s="363"/>
      <c r="K358" s="499"/>
      <c r="L358" s="500"/>
      <c r="M358" s="501"/>
      <c r="N358" s="501"/>
      <c r="O358" s="501"/>
      <c r="P358" s="501"/>
      <c r="Q358" s="501"/>
    </row>
    <row r="359" spans="1:17" ht="25" customHeight="1">
      <c r="A359" s="425"/>
      <c r="B359" s="426" t="s">
        <v>658</v>
      </c>
      <c r="C359" s="409"/>
      <c r="D359" s="409"/>
      <c r="E359" s="409"/>
      <c r="F359" s="546">
        <f>I359+J359+K359</f>
        <v>1440</v>
      </c>
      <c r="G359" s="409"/>
      <c r="H359" s="532"/>
      <c r="I359" s="197">
        <v>1440</v>
      </c>
      <c r="J359" s="363"/>
      <c r="K359" s="499"/>
      <c r="L359" s="500"/>
      <c r="M359" s="501"/>
      <c r="N359" s="501"/>
      <c r="O359" s="501"/>
      <c r="P359" s="501"/>
      <c r="Q359" s="501" t="s">
        <v>691</v>
      </c>
    </row>
    <row r="360" spans="1:17" ht="25" customHeight="1">
      <c r="A360" s="425"/>
      <c r="B360" s="426" t="s">
        <v>659</v>
      </c>
      <c r="C360" s="409"/>
      <c r="D360" s="409"/>
      <c r="E360" s="409"/>
      <c r="F360" s="532"/>
      <c r="G360" s="409"/>
      <c r="H360" s="532"/>
      <c r="I360" s="197"/>
      <c r="J360" s="363"/>
      <c r="K360" s="499"/>
      <c r="L360" s="500"/>
      <c r="M360" s="501"/>
      <c r="N360" s="501"/>
      <c r="O360" s="501"/>
      <c r="P360" s="501"/>
      <c r="Q360" s="501"/>
    </row>
    <row r="361" spans="1:17" ht="25" customHeight="1">
      <c r="A361" s="425"/>
      <c r="B361" s="426" t="s">
        <v>474</v>
      </c>
      <c r="C361" s="409"/>
      <c r="D361" s="409"/>
      <c r="E361" s="409"/>
      <c r="F361" s="532"/>
      <c r="G361" s="409"/>
      <c r="H361" s="532"/>
      <c r="I361" s="197"/>
      <c r="J361" s="363"/>
      <c r="K361" s="499"/>
      <c r="L361" s="500"/>
      <c r="M361" s="501"/>
      <c r="N361" s="501"/>
      <c r="O361" s="501"/>
      <c r="P361" s="501"/>
      <c r="Q361" s="501"/>
    </row>
    <row r="362" spans="1:17" ht="25" customHeight="1">
      <c r="A362" s="427"/>
      <c r="B362" s="407" t="s">
        <v>475</v>
      </c>
      <c r="C362" s="409"/>
      <c r="D362" s="409"/>
      <c r="E362" s="409"/>
      <c r="F362" s="180"/>
      <c r="G362" s="409"/>
      <c r="H362" s="532"/>
      <c r="I362" s="197"/>
      <c r="J362" s="363"/>
      <c r="K362" s="499"/>
      <c r="L362" s="500"/>
      <c r="M362" s="501"/>
      <c r="N362" s="501"/>
      <c r="O362" s="501"/>
      <c r="P362" s="501"/>
      <c r="Q362" s="501"/>
    </row>
    <row r="363" spans="1:17" ht="25" customHeight="1">
      <c r="A363" s="425" t="s">
        <v>167</v>
      </c>
      <c r="B363" s="426" t="s">
        <v>168</v>
      </c>
      <c r="C363" s="409"/>
      <c r="D363" s="409"/>
      <c r="E363" s="409"/>
      <c r="F363" s="180"/>
      <c r="G363" s="409"/>
      <c r="H363" s="532"/>
      <c r="I363" s="197"/>
      <c r="J363" s="363"/>
      <c r="K363" s="499"/>
      <c r="L363" s="500"/>
      <c r="M363" s="501"/>
      <c r="N363" s="501"/>
      <c r="O363" s="501"/>
      <c r="P363" s="501"/>
      <c r="Q363" s="501"/>
    </row>
    <row r="364" spans="1:17" ht="25" customHeight="1">
      <c r="A364" s="427"/>
      <c r="B364" s="407" t="s">
        <v>692</v>
      </c>
      <c r="C364" s="409"/>
      <c r="D364" s="409"/>
      <c r="E364" s="409"/>
      <c r="F364" s="546">
        <f>I364+J364+K364</f>
        <v>1000</v>
      </c>
      <c r="G364" s="409"/>
      <c r="H364" s="404"/>
      <c r="I364" s="404">
        <v>1000</v>
      </c>
      <c r="J364" s="363"/>
      <c r="K364" s="499"/>
      <c r="L364" s="500"/>
      <c r="M364" s="501"/>
      <c r="N364" s="501"/>
      <c r="O364" s="501"/>
      <c r="P364" s="501"/>
      <c r="Q364" s="501"/>
    </row>
    <row r="365" spans="1:17" ht="25" customHeight="1">
      <c r="A365" s="427"/>
      <c r="B365" s="407" t="s">
        <v>476</v>
      </c>
      <c r="C365" s="409"/>
      <c r="D365" s="409"/>
      <c r="E365" s="409"/>
      <c r="F365" s="546">
        <f>I365+J365+K365</f>
        <v>0</v>
      </c>
      <c r="G365" s="409"/>
      <c r="H365" s="532"/>
      <c r="I365" s="197"/>
      <c r="J365" s="363"/>
      <c r="K365" s="499"/>
      <c r="L365" s="500"/>
      <c r="M365" s="501"/>
      <c r="N365" s="501"/>
      <c r="O365" s="501"/>
      <c r="P365" s="501"/>
      <c r="Q365" s="501"/>
    </row>
    <row r="366" spans="1:17" ht="25" customHeight="1">
      <c r="A366" s="427"/>
      <c r="B366" s="407" t="s">
        <v>475</v>
      </c>
      <c r="C366" s="409"/>
      <c r="D366" s="409"/>
      <c r="E366" s="409"/>
      <c r="F366" s="546">
        <f>I366+J366+K366</f>
        <v>550</v>
      </c>
      <c r="G366" s="409"/>
      <c r="H366" s="532"/>
      <c r="I366" s="197"/>
      <c r="J366" s="363">
        <v>550</v>
      </c>
      <c r="K366" s="499"/>
      <c r="L366" s="500"/>
      <c r="M366" s="501"/>
      <c r="N366" s="501"/>
      <c r="O366" s="501"/>
      <c r="P366" s="501"/>
      <c r="Q366" s="501"/>
    </row>
    <row r="367" spans="1:17" ht="25" customHeight="1">
      <c r="A367" s="428"/>
      <c r="B367" s="429" t="s">
        <v>375</v>
      </c>
      <c r="C367" s="430">
        <f>SUM(C355:C366)</f>
        <v>9</v>
      </c>
      <c r="D367" s="430">
        <f t="shared" ref="D367:K367" si="57">SUM(D355:D366)</f>
        <v>3</v>
      </c>
      <c r="E367" s="430">
        <f t="shared" si="57"/>
        <v>3</v>
      </c>
      <c r="F367" s="430">
        <f>SUM(F355:F366)</f>
        <v>3287</v>
      </c>
      <c r="G367" s="430">
        <f t="shared" si="57"/>
        <v>33</v>
      </c>
      <c r="H367" s="430">
        <f t="shared" si="57"/>
        <v>99</v>
      </c>
      <c r="I367" s="430">
        <f t="shared" si="57"/>
        <v>2737</v>
      </c>
      <c r="J367" s="430">
        <f t="shared" si="57"/>
        <v>550</v>
      </c>
      <c r="K367" s="430">
        <f t="shared" si="57"/>
        <v>0</v>
      </c>
      <c r="L367" s="500"/>
      <c r="M367" s="501"/>
      <c r="N367" s="501"/>
      <c r="O367" s="501"/>
      <c r="P367" s="501"/>
      <c r="Q367" s="501"/>
    </row>
    <row r="368" spans="1:17" ht="25" customHeight="1">
      <c r="A368" s="467" t="s">
        <v>495</v>
      </c>
      <c r="B368" s="467" t="s">
        <v>496</v>
      </c>
      <c r="C368" s="409"/>
      <c r="D368" s="409"/>
      <c r="E368" s="409"/>
      <c r="F368" s="180"/>
      <c r="G368" s="409"/>
      <c r="H368" s="532"/>
      <c r="I368" s="196"/>
      <c r="J368" s="363"/>
      <c r="K368" s="499"/>
      <c r="L368" s="500"/>
      <c r="M368" s="501"/>
      <c r="N368" s="501"/>
      <c r="O368" s="501"/>
      <c r="P368" s="501"/>
      <c r="Q368" s="501"/>
    </row>
    <row r="369" spans="1:17" ht="25" customHeight="1">
      <c r="A369" s="467">
        <v>1</v>
      </c>
      <c r="B369" s="468" t="s">
        <v>223</v>
      </c>
      <c r="C369" s="409"/>
      <c r="D369" s="409"/>
      <c r="E369" s="409"/>
      <c r="F369" s="180"/>
      <c r="G369" s="409"/>
      <c r="H369" s="532"/>
      <c r="I369" s="196"/>
      <c r="J369" s="363"/>
      <c r="K369" s="499"/>
      <c r="L369" s="500"/>
      <c r="M369" s="501"/>
      <c r="N369" s="501"/>
      <c r="O369" s="501"/>
      <c r="P369" s="501"/>
      <c r="Q369" s="501"/>
    </row>
    <row r="370" spans="1:17" ht="25" customHeight="1">
      <c r="A370" s="467" t="s">
        <v>376</v>
      </c>
      <c r="B370" s="468" t="s">
        <v>161</v>
      </c>
      <c r="C370" s="409"/>
      <c r="D370" s="409"/>
      <c r="E370" s="409"/>
      <c r="F370" s="532"/>
      <c r="G370" s="409"/>
      <c r="H370" s="404"/>
      <c r="I370" s="404"/>
      <c r="J370" s="363"/>
      <c r="K370" s="499"/>
      <c r="L370" s="500"/>
      <c r="M370" s="501"/>
      <c r="N370" s="501"/>
      <c r="O370" s="501"/>
      <c r="P370" s="501"/>
      <c r="Q370" s="501"/>
    </row>
    <row r="371" spans="1:17" s="512" customFormat="1" ht="25" customHeight="1">
      <c r="A371" s="443" t="s">
        <v>224</v>
      </c>
      <c r="B371" s="509" t="s">
        <v>661</v>
      </c>
      <c r="C371" s="445">
        <v>2</v>
      </c>
      <c r="D371" s="445">
        <v>1</v>
      </c>
      <c r="E371" s="445">
        <v>5</v>
      </c>
      <c r="F371" s="482">
        <f>I371+J371+K371</f>
        <v>165</v>
      </c>
      <c r="G371" s="260">
        <v>40</v>
      </c>
      <c r="H371" s="532">
        <f>C371*E371*G371</f>
        <v>400</v>
      </c>
      <c r="I371" s="196">
        <f>IF(G371&lt;70, C371*E371*16.5*1, C371*E371*16.5*1.3)</f>
        <v>165</v>
      </c>
      <c r="J371" s="363"/>
      <c r="K371" s="499"/>
      <c r="L371" s="510"/>
      <c r="M371" s="511"/>
      <c r="N371" s="511"/>
      <c r="O371" s="511"/>
      <c r="P371" s="511"/>
      <c r="Q371" s="511"/>
    </row>
    <row r="372" spans="1:17" s="512" customFormat="1" ht="25" customHeight="1">
      <c r="A372" s="443" t="s">
        <v>224</v>
      </c>
      <c r="B372" s="509" t="s">
        <v>662</v>
      </c>
      <c r="C372" s="445">
        <v>2</v>
      </c>
      <c r="D372" s="445">
        <v>1</v>
      </c>
      <c r="E372" s="445">
        <v>4</v>
      </c>
      <c r="F372" s="482">
        <f>I372+J372+K372</f>
        <v>132</v>
      </c>
      <c r="G372" s="260">
        <v>40</v>
      </c>
      <c r="H372" s="532">
        <f>C372*E372*G372</f>
        <v>320</v>
      </c>
      <c r="I372" s="196">
        <f>IF(G372&lt;70, C372*E372*16.5*1, C372*E372*16.5*1.3)</f>
        <v>132</v>
      </c>
      <c r="J372" s="363"/>
      <c r="K372" s="499"/>
      <c r="L372" s="513"/>
      <c r="M372" s="514"/>
      <c r="N372" s="514"/>
      <c r="O372" s="514"/>
      <c r="P372" s="514"/>
      <c r="Q372" s="514"/>
    </row>
    <row r="373" spans="1:17" s="512" customFormat="1" ht="25" customHeight="1">
      <c r="A373" s="443" t="s">
        <v>225</v>
      </c>
      <c r="B373" s="509" t="s">
        <v>663</v>
      </c>
      <c r="C373" s="445">
        <v>2</v>
      </c>
      <c r="D373" s="445">
        <v>1</v>
      </c>
      <c r="E373" s="445">
        <v>4</v>
      </c>
      <c r="F373" s="482">
        <f>I373+J373+K373</f>
        <v>132</v>
      </c>
      <c r="G373" s="260">
        <v>40</v>
      </c>
      <c r="H373" s="532">
        <f>C373*E373*G373</f>
        <v>320</v>
      </c>
      <c r="I373" s="196">
        <f>IF(G373&lt;70, C373*E373*16.5*1, C373*E373*16.5*1.3)</f>
        <v>132</v>
      </c>
      <c r="J373" s="363"/>
      <c r="K373" s="499"/>
      <c r="L373" s="515"/>
      <c r="M373" s="515"/>
      <c r="N373" s="515"/>
      <c r="O373" s="515"/>
      <c r="P373" s="515"/>
      <c r="Q373" s="514"/>
    </row>
    <row r="374" spans="1:17" s="512" customFormat="1" ht="25" customHeight="1">
      <c r="A374" s="428"/>
      <c r="B374" s="429" t="s">
        <v>375</v>
      </c>
      <c r="C374" s="430">
        <f>SUM(C371:C373)</f>
        <v>6</v>
      </c>
      <c r="D374" s="430">
        <f t="shared" ref="D374:K374" si="58">SUM(D371:D373)</f>
        <v>3</v>
      </c>
      <c r="E374" s="430">
        <f t="shared" si="58"/>
        <v>13</v>
      </c>
      <c r="F374" s="430">
        <f t="shared" si="58"/>
        <v>429</v>
      </c>
      <c r="G374" s="430">
        <f t="shared" si="58"/>
        <v>120</v>
      </c>
      <c r="H374" s="430">
        <f t="shared" si="58"/>
        <v>1040</v>
      </c>
      <c r="I374" s="430">
        <f t="shared" si="58"/>
        <v>429</v>
      </c>
      <c r="J374" s="430">
        <f t="shared" si="58"/>
        <v>0</v>
      </c>
      <c r="K374" s="430">
        <f t="shared" si="58"/>
        <v>0</v>
      </c>
      <c r="L374" s="516"/>
      <c r="M374" s="516"/>
      <c r="N374" s="516"/>
      <c r="O374" s="516"/>
      <c r="P374" s="516"/>
      <c r="Q374" s="514"/>
    </row>
    <row r="375" spans="1:17" s="512" customFormat="1" ht="25" customHeight="1">
      <c r="A375" s="479"/>
      <c r="B375" s="480" t="s">
        <v>477</v>
      </c>
      <c r="C375" s="364">
        <f>C321+C352+C367+C374</f>
        <v>342</v>
      </c>
      <c r="D375" s="364">
        <f t="shared" ref="D375:K375" si="59">D321+D352+D367+D374</f>
        <v>59.6</v>
      </c>
      <c r="E375" s="364">
        <f t="shared" si="59"/>
        <v>104</v>
      </c>
      <c r="F375" s="364">
        <f t="shared" si="59"/>
        <v>12642.5</v>
      </c>
      <c r="G375" s="364">
        <f t="shared" si="59"/>
        <v>2063</v>
      </c>
      <c r="H375" s="364">
        <f t="shared" si="59"/>
        <v>10812</v>
      </c>
      <c r="I375" s="364">
        <f t="shared" si="59"/>
        <v>8213.75</v>
      </c>
      <c r="J375" s="364">
        <f t="shared" si="59"/>
        <v>2398.75</v>
      </c>
      <c r="K375" s="364">
        <f t="shared" si="59"/>
        <v>2030</v>
      </c>
      <c r="L375" s="517">
        <f>'Bieu3 QLGD'!F25</f>
        <v>1890</v>
      </c>
      <c r="M375" s="517">
        <f>'Bieu3 QLGD'!N25</f>
        <v>1606.5</v>
      </c>
      <c r="N375" s="517">
        <f>I375-M375</f>
        <v>6607.25</v>
      </c>
      <c r="O375" s="517">
        <f>'Bieu3 QLGD'!O25</f>
        <v>1311.75</v>
      </c>
      <c r="P375" s="517">
        <f>'Bieu3 QLGD'!P25</f>
        <v>680</v>
      </c>
      <c r="Q375" s="518" t="s">
        <v>693</v>
      </c>
    </row>
    <row r="376" spans="1:17" s="512" customFormat="1" ht="25" customHeight="1">
      <c r="A376" s="519"/>
      <c r="B376" s="520"/>
      <c r="C376" s="521"/>
      <c r="D376" s="521"/>
      <c r="E376" s="522"/>
      <c r="F376" s="521"/>
      <c r="G376" s="521"/>
      <c r="H376" s="521"/>
      <c r="I376" s="521"/>
      <c r="J376" s="521"/>
      <c r="K376" s="523"/>
      <c r="L376" s="516"/>
      <c r="M376" s="516"/>
      <c r="N376" s="516"/>
      <c r="O376" s="516"/>
      <c r="P376" s="516"/>
      <c r="Q376" s="514"/>
    </row>
    <row r="377" spans="1:17" ht="25" customHeight="1">
      <c r="A377" s="399" t="s">
        <v>6</v>
      </c>
      <c r="B377" s="399" t="s">
        <v>160</v>
      </c>
      <c r="C377" s="404">
        <f t="shared" ref="C377:P377" si="60">C63+C207+C243+C321+C150</f>
        <v>315</v>
      </c>
      <c r="D377" s="404">
        <f t="shared" si="60"/>
        <v>119.28</v>
      </c>
      <c r="E377" s="404">
        <f t="shared" si="60"/>
        <v>367</v>
      </c>
      <c r="F377" s="404">
        <f t="shared" si="60"/>
        <v>19452.900000000001</v>
      </c>
      <c r="G377" s="404">
        <f t="shared" si="60"/>
        <v>6143</v>
      </c>
      <c r="H377" s="404">
        <f t="shared" si="60"/>
        <v>53107</v>
      </c>
      <c r="I377" s="404">
        <f t="shared" si="60"/>
        <v>19353.900000000001</v>
      </c>
      <c r="J377" s="404">
        <f t="shared" si="60"/>
        <v>99</v>
      </c>
      <c r="K377" s="404">
        <f t="shared" si="60"/>
        <v>0</v>
      </c>
      <c r="L377" s="404">
        <f t="shared" si="60"/>
        <v>0</v>
      </c>
      <c r="M377" s="404">
        <f t="shared" si="60"/>
        <v>0</v>
      </c>
      <c r="N377" s="404">
        <f t="shared" si="60"/>
        <v>0</v>
      </c>
      <c r="O377" s="404">
        <f t="shared" si="60"/>
        <v>0</v>
      </c>
      <c r="P377" s="404">
        <f t="shared" si="60"/>
        <v>0</v>
      </c>
      <c r="Q377" s="180"/>
    </row>
    <row r="378" spans="1:17" ht="25" customHeight="1">
      <c r="A378" s="524" t="s">
        <v>7</v>
      </c>
      <c r="B378" s="399" t="s">
        <v>170</v>
      </c>
      <c r="C378" s="404">
        <f t="shared" ref="C378:K378" si="61">C352+C262+C217+C162+C74</f>
        <v>351</v>
      </c>
      <c r="D378" s="404">
        <f t="shared" si="61"/>
        <v>53</v>
      </c>
      <c r="E378" s="404">
        <f t="shared" si="61"/>
        <v>93</v>
      </c>
      <c r="F378" s="404">
        <f t="shared" si="61"/>
        <v>10512.25</v>
      </c>
      <c r="G378" s="404">
        <f t="shared" si="61"/>
        <v>844</v>
      </c>
      <c r="H378" s="404">
        <f t="shared" si="61"/>
        <v>7398</v>
      </c>
      <c r="I378" s="404">
        <f t="shared" si="61"/>
        <v>6485</v>
      </c>
      <c r="J378" s="404">
        <f t="shared" si="61"/>
        <v>1848.75</v>
      </c>
      <c r="K378" s="404">
        <f t="shared" si="61"/>
        <v>2178.5</v>
      </c>
      <c r="L378" s="404">
        <v>0</v>
      </c>
      <c r="M378" s="404">
        <v>0</v>
      </c>
      <c r="N378" s="404">
        <v>0</v>
      </c>
      <c r="O378" s="404">
        <v>0</v>
      </c>
      <c r="P378" s="404">
        <v>0</v>
      </c>
      <c r="Q378" s="180"/>
    </row>
    <row r="379" spans="1:17" ht="25" customHeight="1">
      <c r="A379" s="524" t="s">
        <v>24</v>
      </c>
      <c r="B379" s="403" t="s">
        <v>164</v>
      </c>
      <c r="C379" s="404">
        <f>C367</f>
        <v>9</v>
      </c>
      <c r="D379" s="404">
        <f>D364+D260</f>
        <v>0</v>
      </c>
      <c r="E379" s="404">
        <f>E367</f>
        <v>3</v>
      </c>
      <c r="F379" s="404">
        <f t="shared" ref="F379:K379" si="62">F367</f>
        <v>3287</v>
      </c>
      <c r="G379" s="404">
        <f t="shared" si="62"/>
        <v>33</v>
      </c>
      <c r="H379" s="404">
        <f t="shared" si="62"/>
        <v>99</v>
      </c>
      <c r="I379" s="404">
        <f t="shared" si="62"/>
        <v>2737</v>
      </c>
      <c r="J379" s="404">
        <f t="shared" si="62"/>
        <v>550</v>
      </c>
      <c r="K379" s="404">
        <f t="shared" si="62"/>
        <v>0</v>
      </c>
      <c r="L379" s="404">
        <v>0</v>
      </c>
      <c r="M379" s="404">
        <v>0</v>
      </c>
      <c r="N379" s="404">
        <v>0</v>
      </c>
      <c r="O379" s="404">
        <v>0</v>
      </c>
      <c r="P379" s="404">
        <v>0</v>
      </c>
      <c r="Q379" s="180"/>
    </row>
    <row r="380" spans="1:17" ht="25" customHeight="1">
      <c r="A380" s="524"/>
      <c r="B380" s="403" t="s">
        <v>530</v>
      </c>
      <c r="C380" s="404">
        <f t="shared" ref="C380:K380" si="63">C374+C277+C224+C184+C103</f>
        <v>124</v>
      </c>
      <c r="D380" s="404">
        <f t="shared" si="63"/>
        <v>37</v>
      </c>
      <c r="E380" s="404">
        <f t="shared" si="63"/>
        <v>298</v>
      </c>
      <c r="F380" s="404">
        <f t="shared" si="63"/>
        <v>21781.65</v>
      </c>
      <c r="G380" s="404">
        <f t="shared" si="63"/>
        <v>1940</v>
      </c>
      <c r="H380" s="404">
        <f t="shared" si="63"/>
        <v>61440</v>
      </c>
      <c r="I380" s="404">
        <f t="shared" si="63"/>
        <v>21781.65</v>
      </c>
      <c r="J380" s="404">
        <f t="shared" si="63"/>
        <v>0</v>
      </c>
      <c r="K380" s="404">
        <f t="shared" si="63"/>
        <v>0</v>
      </c>
      <c r="L380" s="404">
        <v>0</v>
      </c>
      <c r="M380" s="404">
        <v>0</v>
      </c>
      <c r="N380" s="404">
        <v>0</v>
      </c>
      <c r="O380" s="404">
        <v>0</v>
      </c>
      <c r="P380" s="404">
        <v>0</v>
      </c>
      <c r="Q380" s="180"/>
    </row>
    <row r="381" spans="1:17" ht="25" customHeight="1">
      <c r="A381" s="524"/>
      <c r="B381" s="403" t="s">
        <v>531</v>
      </c>
      <c r="C381" s="404">
        <v>0</v>
      </c>
      <c r="D381" s="404"/>
      <c r="E381" s="404">
        <v>0</v>
      </c>
      <c r="F381" s="404">
        <v>0</v>
      </c>
      <c r="G381" s="404">
        <v>0</v>
      </c>
      <c r="H381" s="404">
        <v>0</v>
      </c>
      <c r="I381" s="404">
        <v>0</v>
      </c>
      <c r="J381" s="404">
        <v>0</v>
      </c>
      <c r="K381" s="525">
        <v>0</v>
      </c>
      <c r="L381" s="525">
        <v>0</v>
      </c>
      <c r="M381" s="525">
        <v>0</v>
      </c>
      <c r="N381" s="525">
        <v>0</v>
      </c>
      <c r="O381" s="525">
        <v>0</v>
      </c>
      <c r="P381" s="525">
        <v>0</v>
      </c>
      <c r="Q381" s="180"/>
    </row>
    <row r="382" spans="1:17" ht="25" customHeight="1">
      <c r="A382" s="526"/>
      <c r="B382" s="230" t="s">
        <v>479</v>
      </c>
      <c r="C382" s="210">
        <f t="shared" ref="C382:P382" si="64">C375+C278+C225+C185+C105</f>
        <v>799</v>
      </c>
      <c r="D382" s="210">
        <f t="shared" si="64"/>
        <v>212.28</v>
      </c>
      <c r="E382" s="210">
        <f t="shared" si="64"/>
        <v>761</v>
      </c>
      <c r="F382" s="210">
        <f t="shared" si="64"/>
        <v>55033.8</v>
      </c>
      <c r="G382" s="210">
        <f t="shared" si="64"/>
        <v>8960</v>
      </c>
      <c r="H382" s="210">
        <f t="shared" si="64"/>
        <v>122044</v>
      </c>
      <c r="I382" s="210">
        <f>I375+I278+I225+I185+I105</f>
        <v>50357.55</v>
      </c>
      <c r="J382" s="210">
        <f t="shared" si="64"/>
        <v>2497.75</v>
      </c>
      <c r="K382" s="210">
        <f t="shared" si="64"/>
        <v>2178.5</v>
      </c>
      <c r="L382" s="210">
        <f t="shared" si="64"/>
        <v>9922</v>
      </c>
      <c r="M382" s="210">
        <f t="shared" si="64"/>
        <v>8923</v>
      </c>
      <c r="N382" s="210">
        <f t="shared" si="64"/>
        <v>41434.550000000003</v>
      </c>
      <c r="O382" s="210">
        <f t="shared" si="64"/>
        <v>6412.25</v>
      </c>
      <c r="P382" s="210">
        <f t="shared" si="64"/>
        <v>3380</v>
      </c>
      <c r="Q382" s="180"/>
    </row>
    <row r="383" spans="1:17">
      <c r="C383" s="132"/>
      <c r="D383" s="1892" t="s">
        <v>555</v>
      </c>
      <c r="E383" s="1892"/>
      <c r="F383" s="1892"/>
      <c r="G383" s="1892"/>
      <c r="H383" s="1892"/>
      <c r="I383" s="1892"/>
      <c r="J383" s="531">
        <f>J382+K382</f>
        <v>4676.25</v>
      </c>
      <c r="K383" s="528"/>
      <c r="L383" s="528"/>
      <c r="M383" s="528"/>
      <c r="N383" s="1893" t="s">
        <v>573</v>
      </c>
      <c r="O383" s="1893"/>
      <c r="P383" s="1893"/>
      <c r="Q383" s="1893"/>
    </row>
    <row r="384" spans="1:17" ht="12.75" customHeight="1">
      <c r="A384" s="533"/>
      <c r="B384" s="533"/>
      <c r="C384" s="132"/>
      <c r="D384" s="132"/>
      <c r="E384" s="132"/>
      <c r="G384" s="132"/>
      <c r="H384" s="132"/>
      <c r="I384" s="132"/>
      <c r="J384" s="132"/>
      <c r="K384" s="528"/>
      <c r="L384" s="528"/>
      <c r="M384" s="528"/>
      <c r="N384" s="1887" t="s">
        <v>536</v>
      </c>
      <c r="O384" s="1887"/>
      <c r="P384" s="1887"/>
      <c r="Q384" s="1887"/>
    </row>
    <row r="385" spans="1:17">
      <c r="A385" s="533"/>
      <c r="B385" s="1888" t="s">
        <v>694</v>
      </c>
      <c r="C385" s="1888"/>
      <c r="D385" s="1888"/>
      <c r="E385" s="1888"/>
      <c r="F385" s="1888"/>
      <c r="G385" s="1888"/>
      <c r="H385" s="1888"/>
      <c r="I385" s="1888"/>
      <c r="J385" s="1888"/>
      <c r="K385" s="1888"/>
      <c r="L385" s="528"/>
      <c r="M385" s="528"/>
      <c r="N385" s="528"/>
      <c r="O385" s="528"/>
      <c r="P385" s="528"/>
      <c r="Q385" s="534"/>
    </row>
    <row r="386" spans="1:17" ht="26.25" customHeight="1">
      <c r="A386" s="533"/>
      <c r="B386" s="1881" t="s">
        <v>235</v>
      </c>
      <c r="C386" s="1881"/>
      <c r="D386" s="1881"/>
      <c r="E386" s="1881"/>
      <c r="F386" s="1881"/>
      <c r="G386" s="1881"/>
      <c r="H386" s="1881"/>
      <c r="I386" s="1881"/>
      <c r="J386" s="1881"/>
      <c r="K386" s="1881"/>
      <c r="L386" s="528"/>
      <c r="M386" s="528"/>
      <c r="N386" s="528"/>
      <c r="O386" s="528"/>
      <c r="P386" s="528"/>
      <c r="Q386" s="534"/>
    </row>
    <row r="387" spans="1:17" ht="30" customHeight="1">
      <c r="A387" s="533"/>
      <c r="B387" s="1882" t="s">
        <v>72</v>
      </c>
      <c r="C387" s="1882"/>
      <c r="D387" s="1882"/>
      <c r="E387" s="1882"/>
      <c r="F387" s="1882"/>
      <c r="G387" s="1882"/>
      <c r="H387" s="1882"/>
      <c r="I387" s="1882"/>
      <c r="J387" s="1882"/>
      <c r="K387" s="1882"/>
      <c r="L387" s="528"/>
      <c r="M387" s="528"/>
      <c r="N387" s="1883" t="s">
        <v>537</v>
      </c>
      <c r="O387" s="1883"/>
      <c r="P387" s="1883"/>
      <c r="Q387" s="1883"/>
    </row>
  </sheetData>
  <mergeCells count="29">
    <mergeCell ref="F5:F6"/>
    <mergeCell ref="G5:G6"/>
    <mergeCell ref="H5:H6"/>
    <mergeCell ref="A5:A6"/>
    <mergeCell ref="B5:B6"/>
    <mergeCell ref="C5:C6"/>
    <mergeCell ref="D5:D6"/>
    <mergeCell ref="E5:E6"/>
    <mergeCell ref="A1:C1"/>
    <mergeCell ref="I1:N1"/>
    <mergeCell ref="A2:C2"/>
    <mergeCell ref="I2:N2"/>
    <mergeCell ref="A3:Q3"/>
    <mergeCell ref="B386:K386"/>
    <mergeCell ref="B387:K387"/>
    <mergeCell ref="N387:Q387"/>
    <mergeCell ref="P5:P6"/>
    <mergeCell ref="Q5:Q6"/>
    <mergeCell ref="Q151:Q157"/>
    <mergeCell ref="N384:Q384"/>
    <mergeCell ref="B385:K385"/>
    <mergeCell ref="I5:K5"/>
    <mergeCell ref="L5:L6"/>
    <mergeCell ref="M5:M6"/>
    <mergeCell ref="N5:N6"/>
    <mergeCell ref="O5:O6"/>
    <mergeCell ref="D383:I383"/>
    <mergeCell ref="N383:Q383"/>
    <mergeCell ref="M341:Q341"/>
  </mergeCells>
  <pageMargins left="0.2" right="0.2" top="0.5" bottom="0.42" header="0.62" footer="0.6"/>
  <pageSetup paperSize="9" scale="85"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view="pageBreakPreview" zoomScale="130" zoomScaleNormal="90" zoomScaleSheetLayoutView="130" zoomScalePageLayoutView="90" workbookViewId="0">
      <pane xSplit="2" ySplit="7" topLeftCell="C23" activePane="bottomRight" state="frozen"/>
      <selection pane="topRight" activeCell="C1" sqref="C1"/>
      <selection pane="bottomLeft" activeCell="A8" sqref="A8"/>
      <selection pane="bottomRight" activeCell="S12" sqref="S12"/>
    </sheetView>
  </sheetViews>
  <sheetFormatPr baseColWidth="10" defaultColWidth="8.83203125" defaultRowHeight="16"/>
  <cols>
    <col min="1" max="1" width="5.5" style="599" customWidth="1"/>
    <col min="2" max="2" width="30.1640625" style="600" customWidth="1"/>
    <col min="3" max="3" width="7.1640625" style="600" customWidth="1"/>
    <col min="4" max="4" width="7.1640625" style="588" customWidth="1"/>
    <col min="5" max="5" width="7.5" style="588" customWidth="1"/>
    <col min="6" max="6" width="6.5" style="588" customWidth="1"/>
    <col min="7" max="7" width="6.6640625" style="588" customWidth="1"/>
    <col min="8" max="9" width="5.6640625" style="588" customWidth="1"/>
    <col min="10" max="10" width="6.1640625" style="588" customWidth="1"/>
    <col min="11" max="11" width="7" style="588" customWidth="1"/>
    <col min="12" max="12" width="7.1640625" style="588" customWidth="1"/>
    <col min="13" max="13" width="6.5" style="588" customWidth="1"/>
    <col min="14" max="15" width="7.1640625" style="588" customWidth="1"/>
    <col min="16" max="16" width="14.6640625" style="588" customWidth="1"/>
    <col min="17" max="16384" width="8.83203125" style="588"/>
  </cols>
  <sheetData>
    <row r="1" spans="1:16" ht="14.25" customHeight="1">
      <c r="A1" s="1903" t="s">
        <v>3</v>
      </c>
      <c r="B1" s="1903"/>
      <c r="C1" s="587"/>
      <c r="D1" s="1904"/>
      <c r="E1" s="1904"/>
      <c r="F1" s="1904"/>
      <c r="G1" s="1904"/>
      <c r="H1" s="1904"/>
      <c r="I1" s="1904"/>
      <c r="J1" s="1904"/>
      <c r="K1" s="1904"/>
      <c r="L1" s="1904"/>
      <c r="M1" s="1904"/>
      <c r="N1" s="1904"/>
      <c r="O1" s="1904"/>
      <c r="P1" s="122" t="s">
        <v>31</v>
      </c>
    </row>
    <row r="2" spans="1:16" ht="16.5" customHeight="1">
      <c r="A2" s="1905" t="s">
        <v>294</v>
      </c>
      <c r="B2" s="1905"/>
      <c r="C2" s="587"/>
      <c r="D2" s="1904"/>
      <c r="E2" s="1904"/>
      <c r="F2" s="1904"/>
      <c r="G2" s="1904"/>
      <c r="H2" s="1904"/>
      <c r="I2" s="1904"/>
      <c r="J2" s="1904"/>
      <c r="K2" s="1904"/>
      <c r="L2" s="1904"/>
      <c r="M2" s="1904"/>
      <c r="N2" s="1904"/>
      <c r="O2" s="1904"/>
      <c r="P2" s="589"/>
    </row>
    <row r="3" spans="1:16" ht="21.75" customHeight="1">
      <c r="A3" s="1906" t="s">
        <v>936</v>
      </c>
      <c r="B3" s="1906"/>
      <c r="C3" s="1906"/>
      <c r="D3" s="1906"/>
      <c r="E3" s="1906"/>
      <c r="F3" s="1906"/>
      <c r="G3" s="1906"/>
      <c r="H3" s="1906"/>
      <c r="I3" s="1906"/>
      <c r="J3" s="1906"/>
      <c r="K3" s="1906"/>
      <c r="L3" s="1906"/>
      <c r="M3" s="1906"/>
      <c r="N3" s="1906"/>
      <c r="O3" s="1906"/>
      <c r="P3" s="1906"/>
    </row>
    <row r="4" spans="1:16">
      <c r="A4" s="590"/>
      <c r="B4" s="590"/>
      <c r="C4" s="590"/>
      <c r="D4" s="590"/>
      <c r="E4" s="590"/>
      <c r="F4" s="590"/>
      <c r="G4" s="1900" t="s">
        <v>73</v>
      </c>
      <c r="H4" s="1900"/>
      <c r="I4" s="1900"/>
      <c r="J4" s="1900"/>
      <c r="K4" s="1900"/>
      <c r="L4" s="1900"/>
      <c r="M4" s="1900"/>
      <c r="N4" s="1900"/>
      <c r="O4" s="1900"/>
      <c r="P4" s="1900"/>
    </row>
    <row r="5" spans="1:16" ht="27.75" customHeight="1">
      <c r="A5" s="1901" t="s">
        <v>0</v>
      </c>
      <c r="B5" s="1901" t="s">
        <v>8</v>
      </c>
      <c r="C5" s="1901" t="s">
        <v>9</v>
      </c>
      <c r="D5" s="1901" t="s">
        <v>14</v>
      </c>
      <c r="E5" s="1901"/>
      <c r="F5" s="1901"/>
      <c r="G5" s="1901"/>
      <c r="H5" s="1901" t="s">
        <v>210</v>
      </c>
      <c r="I5" s="1901"/>
      <c r="J5" s="1901"/>
      <c r="K5" s="1901"/>
      <c r="L5" s="1901" t="s">
        <v>15</v>
      </c>
      <c r="M5" s="1901"/>
      <c r="N5" s="1901"/>
      <c r="O5" s="1901"/>
      <c r="P5" s="1901" t="s">
        <v>2</v>
      </c>
    </row>
    <row r="6" spans="1:16" ht="68">
      <c r="A6" s="1902"/>
      <c r="B6" s="1902"/>
      <c r="C6" s="1902"/>
      <c r="D6" s="970" t="s">
        <v>13</v>
      </c>
      <c r="E6" s="970" t="s">
        <v>10</v>
      </c>
      <c r="F6" s="970" t="s">
        <v>11</v>
      </c>
      <c r="G6" s="970" t="s">
        <v>12</v>
      </c>
      <c r="H6" s="970" t="s">
        <v>13</v>
      </c>
      <c r="I6" s="970" t="s">
        <v>10</v>
      </c>
      <c r="J6" s="970" t="s">
        <v>11</v>
      </c>
      <c r="K6" s="970" t="s">
        <v>12</v>
      </c>
      <c r="L6" s="970" t="s">
        <v>13</v>
      </c>
      <c r="M6" s="970" t="s">
        <v>10</v>
      </c>
      <c r="N6" s="970" t="s">
        <v>11</v>
      </c>
      <c r="O6" s="970" t="s">
        <v>12</v>
      </c>
      <c r="P6" s="1902"/>
    </row>
    <row r="7" spans="1:16" s="591" customFormat="1" ht="51">
      <c r="A7" s="971" t="s">
        <v>113</v>
      </c>
      <c r="B7" s="971" t="s">
        <v>114</v>
      </c>
      <c r="C7" s="972" t="s">
        <v>115</v>
      </c>
      <c r="D7" s="972" t="s">
        <v>116</v>
      </c>
      <c r="E7" s="972" t="s">
        <v>117</v>
      </c>
      <c r="F7" s="972" t="s">
        <v>118</v>
      </c>
      <c r="G7" s="972" t="s">
        <v>119</v>
      </c>
      <c r="H7" s="972" t="s">
        <v>120</v>
      </c>
      <c r="I7" s="972" t="s">
        <v>121</v>
      </c>
      <c r="J7" s="972" t="s">
        <v>123</v>
      </c>
      <c r="K7" s="971" t="s">
        <v>86</v>
      </c>
      <c r="L7" s="972" t="s">
        <v>124</v>
      </c>
      <c r="M7" s="972" t="s">
        <v>125</v>
      </c>
      <c r="N7" s="972" t="s">
        <v>126</v>
      </c>
      <c r="O7" s="972" t="s">
        <v>127</v>
      </c>
      <c r="P7" s="972" t="s">
        <v>128</v>
      </c>
    </row>
    <row r="8" spans="1:16" s="591" customFormat="1" ht="34" customHeight="1">
      <c r="A8" s="970"/>
      <c r="B8" s="973" t="s">
        <v>1639</v>
      </c>
      <c r="C8" s="970"/>
      <c r="D8" s="970"/>
      <c r="E8" s="970"/>
      <c r="F8" s="970"/>
      <c r="G8" s="970"/>
      <c r="H8" s="970"/>
      <c r="I8" s="970"/>
      <c r="J8" s="970"/>
      <c r="K8" s="970"/>
      <c r="L8" s="970"/>
      <c r="M8" s="970"/>
      <c r="N8" s="970"/>
      <c r="O8" s="970"/>
      <c r="P8" s="970"/>
    </row>
    <row r="9" spans="1:16" s="591" customFormat="1" ht="18.75" customHeight="1">
      <c r="A9" s="970"/>
      <c r="B9" s="973" t="s">
        <v>340</v>
      </c>
      <c r="C9" s="970"/>
      <c r="D9" s="970"/>
      <c r="E9" s="970"/>
      <c r="F9" s="970"/>
      <c r="G9" s="970"/>
      <c r="H9" s="970"/>
      <c r="I9" s="970"/>
      <c r="J9" s="970"/>
      <c r="K9" s="970"/>
      <c r="L9" s="970"/>
      <c r="M9" s="970"/>
      <c r="N9" s="970"/>
      <c r="O9" s="970"/>
      <c r="P9" s="970"/>
    </row>
    <row r="10" spans="1:16" s="591" customFormat="1" ht="18.75" customHeight="1">
      <c r="A10" s="970"/>
      <c r="B10" s="973" t="s">
        <v>1592</v>
      </c>
      <c r="C10" s="970"/>
      <c r="D10" s="970"/>
      <c r="E10" s="970"/>
      <c r="F10" s="970"/>
      <c r="G10" s="970"/>
      <c r="H10" s="970"/>
      <c r="I10" s="970"/>
      <c r="J10" s="970"/>
      <c r="K10" s="970"/>
      <c r="L10" s="970"/>
      <c r="M10" s="970"/>
      <c r="N10" s="970"/>
      <c r="O10" s="970"/>
      <c r="P10" s="970"/>
    </row>
    <row r="11" spans="1:16" s="591" customFormat="1" ht="34">
      <c r="A11" s="970"/>
      <c r="B11" s="973" t="s">
        <v>1624</v>
      </c>
      <c r="C11" s="970"/>
      <c r="D11" s="970"/>
      <c r="E11" s="970"/>
      <c r="F11" s="970"/>
      <c r="G11" s="970"/>
      <c r="H11" s="970"/>
      <c r="I11" s="970"/>
      <c r="J11" s="970"/>
      <c r="K11" s="970"/>
      <c r="L11" s="970"/>
      <c r="M11" s="970"/>
      <c r="N11" s="970"/>
      <c r="O11" s="970"/>
      <c r="P11" s="970"/>
    </row>
    <row r="12" spans="1:16" s="591" customFormat="1" ht="34">
      <c r="A12" s="970"/>
      <c r="B12" s="973" t="s">
        <v>1593</v>
      </c>
      <c r="C12" s="970"/>
      <c r="D12" s="970"/>
      <c r="E12" s="970"/>
      <c r="F12" s="970"/>
      <c r="G12" s="970"/>
      <c r="H12" s="970"/>
      <c r="I12" s="970"/>
      <c r="J12" s="970"/>
      <c r="K12" s="970"/>
      <c r="L12" s="970"/>
      <c r="M12" s="970"/>
      <c r="N12" s="970"/>
      <c r="O12" s="970"/>
      <c r="P12" s="970"/>
    </row>
    <row r="13" spans="1:16" s="591" customFormat="1" ht="39" customHeight="1">
      <c r="A13" s="970"/>
      <c r="B13" s="973" t="s">
        <v>568</v>
      </c>
      <c r="C13" s="970"/>
      <c r="D13" s="970"/>
      <c r="E13" s="970"/>
      <c r="F13" s="970"/>
      <c r="G13" s="970"/>
      <c r="H13" s="970"/>
      <c r="I13" s="970"/>
      <c r="J13" s="970"/>
      <c r="K13" s="970"/>
      <c r="L13" s="970"/>
      <c r="M13" s="970"/>
      <c r="N13" s="970"/>
      <c r="O13" s="970"/>
      <c r="P13" s="970"/>
    </row>
    <row r="14" spans="1:16" s="592" customFormat="1" ht="28.5" customHeight="1">
      <c r="A14" s="974" t="s">
        <v>6</v>
      </c>
      <c r="B14" s="1749" t="s">
        <v>543</v>
      </c>
      <c r="C14" s="974"/>
      <c r="D14" s="919">
        <f>'Bieu3 GDTH'!E24</f>
        <v>5037</v>
      </c>
      <c r="E14" s="919">
        <f>'Bieu3 GDTH'!F24</f>
        <v>2632</v>
      </c>
      <c r="F14" s="919">
        <f>'Bieu3 GDTH'!G24</f>
        <v>1625</v>
      </c>
      <c r="G14" s="919">
        <f>'Bieu3 GDTH'!H24</f>
        <v>780</v>
      </c>
      <c r="H14" s="919">
        <f>'Bieu3 GDTH'!I24</f>
        <v>432.25</v>
      </c>
      <c r="I14" s="919">
        <f>'Bieu3 GDTH'!J24</f>
        <v>229.5</v>
      </c>
      <c r="J14" s="919">
        <f>'Bieu3 GDTH'!K24</f>
        <v>202.75</v>
      </c>
      <c r="K14" s="921">
        <f>'Bieu3 GDTH'!L24</f>
        <v>0</v>
      </c>
      <c r="L14" s="919">
        <f>'Bieu3 GDTH'!M24</f>
        <v>4604.75</v>
      </c>
      <c r="M14" s="919">
        <f>'Bieu3 GDTH'!N24</f>
        <v>2402.5</v>
      </c>
      <c r="N14" s="919">
        <f>'Bieu3 GDTH'!O24</f>
        <v>1422.25</v>
      </c>
      <c r="O14" s="921">
        <f>'Bieu3 GDTH'!P24</f>
        <v>780</v>
      </c>
      <c r="P14" s="920"/>
    </row>
    <row r="15" spans="1:16" s="592" customFormat="1" ht="28.5" customHeight="1">
      <c r="A15" s="918"/>
      <c r="B15" s="1750"/>
      <c r="C15" s="974"/>
      <c r="D15" s="919"/>
      <c r="E15" s="919"/>
      <c r="F15" s="919"/>
      <c r="G15" s="919"/>
      <c r="H15" s="919"/>
      <c r="I15" s="919"/>
      <c r="J15" s="919"/>
      <c r="K15" s="921"/>
      <c r="L15" s="919"/>
      <c r="M15" s="919"/>
      <c r="N15" s="919"/>
      <c r="O15" s="921"/>
      <c r="P15" s="919"/>
    </row>
    <row r="16" spans="1:16" s="592" customFormat="1" ht="28.5" customHeight="1">
      <c r="A16" s="975" t="s">
        <v>7</v>
      </c>
      <c r="B16" s="1751" t="s">
        <v>541</v>
      </c>
      <c r="C16" s="974"/>
      <c r="D16" s="976">
        <f>'Bieu3 GDMN'!E25</f>
        <v>5550</v>
      </c>
      <c r="E16" s="976">
        <f>'Bieu3 GDMN'!F25</f>
        <v>2700</v>
      </c>
      <c r="F16" s="976">
        <f>'Bieu3 GDMN'!G25</f>
        <v>1890</v>
      </c>
      <c r="G16" s="976">
        <f>'Bieu3 GDMN'!H25</f>
        <v>960</v>
      </c>
      <c r="H16" s="976">
        <f>'Bieu3 GDMN'!I25</f>
        <v>504.25</v>
      </c>
      <c r="I16" s="976">
        <f>'Bieu3 GDMN'!J25</f>
        <v>324</v>
      </c>
      <c r="J16" s="976">
        <f>'Bieu3 GDMN'!K25</f>
        <v>180.25</v>
      </c>
      <c r="K16" s="977">
        <f>'Bieu3 GDMN'!L25</f>
        <v>0</v>
      </c>
      <c r="L16" s="976">
        <f>'Bieu3 GDMN'!M25</f>
        <v>5045.75</v>
      </c>
      <c r="M16" s="976">
        <f>'Bieu3 GDMN'!N25</f>
        <v>2376</v>
      </c>
      <c r="N16" s="976">
        <f>'Bieu3 GDMN'!O25</f>
        <v>1709.75</v>
      </c>
      <c r="O16" s="977">
        <f>'Bieu3 GDMN'!P25</f>
        <v>960</v>
      </c>
      <c r="P16" s="976"/>
    </row>
    <row r="17" spans="1:17" s="592" customFormat="1" ht="28.5" customHeight="1">
      <c r="A17" s="918"/>
      <c r="B17" s="1750"/>
      <c r="C17" s="974"/>
      <c r="D17" s="919"/>
      <c r="E17" s="919"/>
      <c r="F17" s="919"/>
      <c r="G17" s="919"/>
      <c r="H17" s="919"/>
      <c r="I17" s="919"/>
      <c r="J17" s="919"/>
      <c r="K17" s="921"/>
      <c r="L17" s="919"/>
      <c r="M17" s="919"/>
      <c r="N17" s="919"/>
      <c r="O17" s="921"/>
      <c r="P17" s="919"/>
    </row>
    <row r="18" spans="1:17" s="592" customFormat="1" ht="28.5" customHeight="1">
      <c r="A18" s="974" t="s">
        <v>24</v>
      </c>
      <c r="B18" s="1749" t="s">
        <v>542</v>
      </c>
      <c r="C18" s="974"/>
      <c r="D18" s="919">
        <f>'Bieu3 QLGD'!E25</f>
        <v>4100</v>
      </c>
      <c r="E18" s="919">
        <f>'Bieu3 QLGD'!F25</f>
        <v>1890</v>
      </c>
      <c r="F18" s="919">
        <f>'Bieu3 QLGD'!G25</f>
        <v>1530</v>
      </c>
      <c r="G18" s="919">
        <f>'Bieu3 QLGD'!H25</f>
        <v>680</v>
      </c>
      <c r="H18" s="919">
        <f>'Bieu3 QLGD'!I25</f>
        <v>501.75</v>
      </c>
      <c r="I18" s="919">
        <f>'Bieu3 QLGD'!J25</f>
        <v>283.5</v>
      </c>
      <c r="J18" s="919">
        <f>'Bieu3 QLGD'!K25</f>
        <v>218.25</v>
      </c>
      <c r="K18" s="921">
        <f>'Bieu3 QLGD'!L25</f>
        <v>0</v>
      </c>
      <c r="L18" s="919">
        <f>'Bieu3 QLGD'!M25</f>
        <v>3598.25</v>
      </c>
      <c r="M18" s="919">
        <f>'Bieu3 QLGD'!N25</f>
        <v>1606.5</v>
      </c>
      <c r="N18" s="919">
        <f>'Bieu3 QLGD'!O25</f>
        <v>1311.75</v>
      </c>
      <c r="O18" s="921">
        <f>'Bieu3 QLGD'!P25</f>
        <v>680</v>
      </c>
      <c r="P18" s="919"/>
    </row>
    <row r="19" spans="1:17" s="592" customFormat="1" ht="28.5" customHeight="1">
      <c r="A19" s="974"/>
      <c r="B19" s="1749"/>
      <c r="C19" s="974"/>
      <c r="D19" s="919"/>
      <c r="E19" s="919"/>
      <c r="F19" s="919"/>
      <c r="G19" s="919"/>
      <c r="H19" s="919"/>
      <c r="I19" s="919"/>
      <c r="J19" s="919"/>
      <c r="K19" s="921"/>
      <c r="L19" s="919"/>
      <c r="M19" s="919"/>
      <c r="N19" s="919"/>
      <c r="O19" s="921"/>
      <c r="P19" s="919"/>
    </row>
    <row r="20" spans="1:17" s="969" customFormat="1" ht="28.5" customHeight="1">
      <c r="A20" s="974" t="s">
        <v>35</v>
      </c>
      <c r="B20" s="1749" t="s">
        <v>539</v>
      </c>
      <c r="C20" s="974"/>
      <c r="D20" s="919">
        <f>'Bieu3 TLH'!E22</f>
        <v>3460</v>
      </c>
      <c r="E20" s="919">
        <f>'Bieu3 TLH'!F22</f>
        <v>1620</v>
      </c>
      <c r="F20" s="919">
        <f>'Bieu3 TLH'!G22</f>
        <v>1250</v>
      </c>
      <c r="G20" s="919">
        <f>'Bieu3 TLH'!H22</f>
        <v>590</v>
      </c>
      <c r="H20" s="919">
        <f>'Bieu3 TLH'!I22</f>
        <v>208.25</v>
      </c>
      <c r="I20" s="919">
        <f>'Bieu3 TLH'!J22</f>
        <v>121.5</v>
      </c>
      <c r="J20" s="919">
        <f>'Bieu3 TLH'!K22</f>
        <v>86.75</v>
      </c>
      <c r="K20" s="921">
        <f>'Bieu3 TLH'!L22</f>
        <v>0</v>
      </c>
      <c r="L20" s="919">
        <f>'Bieu3 TLH'!M22</f>
        <v>3251.75</v>
      </c>
      <c r="M20" s="919">
        <f>'Bieu3 TLH'!N22</f>
        <v>1498.5</v>
      </c>
      <c r="N20" s="919">
        <f>'Bieu3 TLH'!O22</f>
        <v>1163.25</v>
      </c>
      <c r="O20" s="921">
        <f>'Bieu3 TLH'!P22</f>
        <v>590</v>
      </c>
      <c r="P20" s="919"/>
    </row>
    <row r="21" spans="1:17" s="592" customFormat="1" ht="28.5" customHeight="1">
      <c r="A21" s="974"/>
      <c r="B21" s="1749"/>
      <c r="C21" s="974"/>
      <c r="D21" s="919"/>
      <c r="E21" s="919"/>
      <c r="F21" s="919"/>
      <c r="G21" s="919"/>
      <c r="H21" s="919"/>
      <c r="I21" s="919"/>
      <c r="J21" s="919"/>
      <c r="K21" s="921"/>
      <c r="L21" s="919"/>
      <c r="M21" s="919"/>
      <c r="N21" s="919"/>
      <c r="O21" s="921"/>
      <c r="P21" s="919"/>
    </row>
    <row r="22" spans="1:17" s="592" customFormat="1" ht="28.5" customHeight="1">
      <c r="A22" s="974" t="s">
        <v>39</v>
      </c>
      <c r="B22" s="1749" t="s">
        <v>540</v>
      </c>
      <c r="C22" s="974"/>
      <c r="D22" s="919">
        <f>'Bieu3 GDH'!E20</f>
        <v>2280</v>
      </c>
      <c r="E22" s="919">
        <f>'Bieu3 GDH'!F20</f>
        <v>1080</v>
      </c>
      <c r="F22" s="919">
        <f>'Bieu3 GDH'!G20</f>
        <v>830</v>
      </c>
      <c r="G22" s="919">
        <f>'Bieu3 GDH'!H20</f>
        <v>370</v>
      </c>
      <c r="H22" s="919">
        <f>'Bieu3 GDH'!I20</f>
        <v>65.25</v>
      </c>
      <c r="I22" s="919">
        <f>'Bieu3 GDH'!J20</f>
        <v>40.5</v>
      </c>
      <c r="J22" s="919">
        <f>'Bieu3 GDH'!K20</f>
        <v>24.75</v>
      </c>
      <c r="K22" s="921">
        <f>'Bieu3 GDH'!L20</f>
        <v>0</v>
      </c>
      <c r="L22" s="919">
        <f>'Bieu3 GDH'!M20</f>
        <v>2214.75</v>
      </c>
      <c r="M22" s="919">
        <f>'Bieu3 GDH'!N20</f>
        <v>1039.5</v>
      </c>
      <c r="N22" s="919">
        <f>'Bieu3 GDH'!O20</f>
        <v>805.25</v>
      </c>
      <c r="O22" s="921">
        <f>'Bieu3 GDH'!P20</f>
        <v>370</v>
      </c>
      <c r="P22" s="919"/>
    </row>
    <row r="23" spans="1:17" s="592" customFormat="1" ht="28.5" customHeight="1">
      <c r="A23" s="918"/>
      <c r="B23" s="1750"/>
      <c r="C23" s="974"/>
      <c r="D23" s="919"/>
      <c r="E23" s="919"/>
      <c r="F23" s="919"/>
      <c r="G23" s="919"/>
      <c r="H23" s="919"/>
      <c r="I23" s="919"/>
      <c r="J23" s="919"/>
      <c r="K23" s="921"/>
      <c r="L23" s="919"/>
      <c r="M23" s="919"/>
      <c r="N23" s="919"/>
      <c r="O23" s="921"/>
      <c r="P23" s="919"/>
    </row>
    <row r="24" spans="1:17" s="592" customFormat="1" ht="15.75" customHeight="1">
      <c r="A24" s="1907" t="s">
        <v>21</v>
      </c>
      <c r="B24" s="1907"/>
      <c r="C24" s="974"/>
      <c r="D24" s="922">
        <f>SUM(D14:D22)</f>
        <v>20427</v>
      </c>
      <c r="E24" s="922">
        <f>SUM(E14:E22)</f>
        <v>9922</v>
      </c>
      <c r="F24" s="922">
        <f t="shared" ref="F24:O24" si="0">SUM(F14:F22)</f>
        <v>7125</v>
      </c>
      <c r="G24" s="922">
        <f t="shared" si="0"/>
        <v>3380</v>
      </c>
      <c r="H24" s="922">
        <f t="shared" si="0"/>
        <v>1711.75</v>
      </c>
      <c r="I24" s="922">
        <f t="shared" si="0"/>
        <v>999</v>
      </c>
      <c r="J24" s="922">
        <f t="shared" si="0"/>
        <v>712.75</v>
      </c>
      <c r="K24" s="978">
        <f t="shared" si="0"/>
        <v>0</v>
      </c>
      <c r="L24" s="922">
        <f>SUM(L14:L22)</f>
        <v>18715.25</v>
      </c>
      <c r="M24" s="922">
        <f t="shared" si="0"/>
        <v>8923</v>
      </c>
      <c r="N24" s="922">
        <f t="shared" si="0"/>
        <v>6412.25</v>
      </c>
      <c r="O24" s="978">
        <f t="shared" si="0"/>
        <v>3380</v>
      </c>
      <c r="P24" s="923"/>
    </row>
    <row r="25" spans="1:17">
      <c r="A25" s="593"/>
      <c r="B25" s="587"/>
      <c r="C25" s="587"/>
      <c r="D25" s="1900" t="s">
        <v>883</v>
      </c>
      <c r="E25" s="1900"/>
      <c r="F25" s="1900"/>
      <c r="G25" s="1900"/>
      <c r="H25" s="1900"/>
      <c r="I25" s="1900"/>
      <c r="J25" s="1900"/>
      <c r="K25" s="1900"/>
      <c r="L25" s="1900"/>
      <c r="M25" s="1900"/>
      <c r="N25" s="1900"/>
      <c r="O25" s="1900"/>
      <c r="P25" s="1900"/>
    </row>
    <row r="26" spans="1:17">
      <c r="A26" s="593"/>
      <c r="B26" s="594"/>
      <c r="C26" s="587"/>
      <c r="E26" s="595"/>
      <c r="F26" s="595"/>
      <c r="G26" s="595"/>
      <c r="H26" s="595"/>
      <c r="I26" s="595"/>
      <c r="J26" s="595"/>
      <c r="K26" s="595"/>
      <c r="L26" s="595"/>
      <c r="M26" s="1905" t="s">
        <v>538</v>
      </c>
      <c r="N26" s="1905"/>
      <c r="O26" s="1905"/>
      <c r="P26" s="1905"/>
    </row>
    <row r="27" spans="1:17">
      <c r="A27" s="1908" t="s">
        <v>842</v>
      </c>
      <c r="B27" s="1908"/>
      <c r="C27" s="1908"/>
      <c r="D27" s="1908"/>
      <c r="E27" s="1908"/>
      <c r="F27" s="1908"/>
      <c r="G27" s="1908"/>
      <c r="H27" s="1908"/>
      <c r="I27" s="1908"/>
      <c r="J27" s="1908"/>
      <c r="K27" s="1908"/>
      <c r="L27" s="1908"/>
      <c r="M27" s="596"/>
      <c r="N27" s="596"/>
      <c r="O27" s="596"/>
      <c r="P27" s="596"/>
    </row>
    <row r="28" spans="1:17">
      <c r="A28" s="593"/>
      <c r="B28" s="597"/>
      <c r="C28" s="587"/>
      <c r="H28" s="598"/>
      <c r="I28" s="598"/>
      <c r="J28" s="598"/>
      <c r="K28" s="598"/>
      <c r="L28" s="598"/>
      <c r="M28" s="598"/>
      <c r="Q28" s="595"/>
    </row>
    <row r="29" spans="1:17">
      <c r="A29" s="593"/>
      <c r="B29" s="597"/>
      <c r="C29" s="587"/>
      <c r="H29" s="866"/>
      <c r="I29" s="866"/>
      <c r="J29" s="866"/>
      <c r="K29" s="866"/>
      <c r="L29" s="866"/>
      <c r="M29" s="866"/>
      <c r="Q29" s="595"/>
    </row>
    <row r="30" spans="1:17">
      <c r="A30" s="593"/>
      <c r="B30" s="587"/>
      <c r="C30" s="587"/>
      <c r="D30" s="596"/>
      <c r="E30" s="596"/>
      <c r="F30" s="596"/>
      <c r="G30" s="596"/>
      <c r="H30" s="596"/>
      <c r="I30" s="596"/>
      <c r="J30" s="596"/>
      <c r="K30" s="596"/>
      <c r="L30" s="596"/>
    </row>
    <row r="31" spans="1:17">
      <c r="N31" s="1905" t="s">
        <v>747</v>
      </c>
      <c r="O31" s="1905"/>
      <c r="P31" s="1905"/>
    </row>
  </sheetData>
  <mergeCells count="18">
    <mergeCell ref="A24:B24"/>
    <mergeCell ref="N31:P31"/>
    <mergeCell ref="D25:P25"/>
    <mergeCell ref="M26:P26"/>
    <mergeCell ref="A27:L27"/>
    <mergeCell ref="A1:B1"/>
    <mergeCell ref="D1:O1"/>
    <mergeCell ref="A2:B2"/>
    <mergeCell ref="D2:O2"/>
    <mergeCell ref="A3:P3"/>
    <mergeCell ref="G4:P4"/>
    <mergeCell ref="A5:A6"/>
    <mergeCell ref="B5:B6"/>
    <mergeCell ref="C5:C6"/>
    <mergeCell ref="D5:G5"/>
    <mergeCell ref="H5:K5"/>
    <mergeCell ref="L5:O5"/>
    <mergeCell ref="P5:P6"/>
  </mergeCells>
  <pageMargins left="0.48" right="0.2" top="0.74" bottom="0.48" header="0.81" footer="0.48"/>
  <pageSetup paperSize="9" scale="96" orientation="landscape" r:id="rId1"/>
  <ignoredErrors>
    <ignoredError sqref="M24"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6"/>
  <sheetViews>
    <sheetView view="pageBreakPreview" zoomScaleNormal="115" zoomScaleSheetLayoutView="100" zoomScalePageLayoutView="115" workbookViewId="0">
      <pane xSplit="2" ySplit="7" topLeftCell="C8" activePane="bottomRight" state="frozen"/>
      <selection pane="topRight" activeCell="C1" sqref="C1"/>
      <selection pane="bottomLeft" activeCell="A8" sqref="A8"/>
      <selection pane="bottomRight" activeCell="U22" sqref="U22"/>
    </sheetView>
  </sheetViews>
  <sheetFormatPr baseColWidth="10" defaultColWidth="8.83203125" defaultRowHeight="13"/>
  <cols>
    <col min="1" max="1" width="5.5" style="1" customWidth="1"/>
    <col min="2" max="2" width="32.5" style="2" customWidth="1"/>
    <col min="3" max="3" width="7" style="2" customWidth="1"/>
    <col min="4" max="4" width="6.5" style="2" customWidth="1"/>
    <col min="5" max="6" width="5.6640625" customWidth="1"/>
    <col min="7" max="7" width="6.5" customWidth="1"/>
    <col min="8" max="8" width="6.6640625" customWidth="1"/>
    <col min="9" max="10" width="5.6640625" customWidth="1"/>
    <col min="11" max="11" width="6.1640625" customWidth="1"/>
    <col min="12" max="12" width="7.5" customWidth="1"/>
    <col min="13" max="13" width="5.6640625" customWidth="1"/>
    <col min="14" max="14" width="7.5" customWidth="1"/>
    <col min="15" max="15" width="6.5" customWidth="1"/>
    <col min="16" max="16" width="7.1640625" customWidth="1"/>
    <col min="17" max="17" width="18.6640625" customWidth="1"/>
  </cols>
  <sheetData>
    <row r="1" spans="1:18" ht="14.25" customHeight="1">
      <c r="A1" s="1923" t="s">
        <v>3</v>
      </c>
      <c r="B1" s="1923"/>
      <c r="C1" s="125"/>
      <c r="D1" s="10"/>
      <c r="E1" s="1924"/>
      <c r="F1" s="1924"/>
      <c r="G1" s="1924"/>
      <c r="H1" s="1924"/>
      <c r="I1" s="1924"/>
      <c r="J1" s="1924"/>
      <c r="K1" s="1924"/>
      <c r="L1" s="1924"/>
      <c r="M1" s="1924"/>
      <c r="N1" s="1924"/>
      <c r="O1" s="1924"/>
      <c r="P1" s="1924"/>
      <c r="Q1" s="122" t="s">
        <v>1575</v>
      </c>
    </row>
    <row r="2" spans="1:18" ht="16.5" customHeight="1">
      <c r="A2" s="1846" t="s">
        <v>294</v>
      </c>
      <c r="B2" s="1846"/>
      <c r="C2" s="123"/>
      <c r="D2" s="10"/>
      <c r="E2" s="1904"/>
      <c r="F2" s="1904"/>
      <c r="G2" s="1904"/>
      <c r="H2" s="1904"/>
      <c r="I2" s="1904"/>
      <c r="J2" s="1904"/>
      <c r="K2" s="1904"/>
      <c r="L2" s="1904"/>
      <c r="M2" s="1904"/>
      <c r="N2" s="1904"/>
      <c r="O2" s="1904"/>
      <c r="P2" s="1904"/>
      <c r="Q2" s="11"/>
    </row>
    <row r="3" spans="1:18" ht="21.75" customHeight="1">
      <c r="A3" s="1844" t="s">
        <v>888</v>
      </c>
      <c r="B3" s="1844"/>
      <c r="C3" s="1844"/>
      <c r="D3" s="1844"/>
      <c r="E3" s="1844"/>
      <c r="F3" s="1844"/>
      <c r="G3" s="1844"/>
      <c r="H3" s="1844"/>
      <c r="I3" s="1844"/>
      <c r="J3" s="1844"/>
      <c r="K3" s="1844"/>
      <c r="L3" s="1844"/>
      <c r="M3" s="1844"/>
      <c r="N3" s="1844"/>
      <c r="O3" s="1844"/>
      <c r="P3" s="1844"/>
      <c r="Q3" s="1844"/>
    </row>
    <row r="4" spans="1:18" ht="14" thickBot="1">
      <c r="A4" s="42"/>
      <c r="B4" s="42"/>
      <c r="C4" s="42"/>
      <c r="D4" s="42"/>
      <c r="E4" s="42"/>
      <c r="F4" s="42"/>
      <c r="G4" s="42"/>
      <c r="H4" s="1922" t="s">
        <v>73</v>
      </c>
      <c r="I4" s="1922"/>
      <c r="J4" s="1922"/>
      <c r="K4" s="1922"/>
      <c r="L4" s="1922"/>
      <c r="M4" s="1922"/>
      <c r="N4" s="1922"/>
      <c r="O4" s="1922"/>
      <c r="P4" s="1922"/>
      <c r="Q4" s="1922"/>
    </row>
    <row r="5" spans="1:18" ht="27.75" customHeight="1" thickTop="1">
      <c r="A5" s="1916" t="s">
        <v>0</v>
      </c>
      <c r="B5" s="1918" t="s">
        <v>8</v>
      </c>
      <c r="C5" s="1106"/>
      <c r="D5" s="1918" t="s">
        <v>9</v>
      </c>
      <c r="E5" s="1920" t="s">
        <v>14</v>
      </c>
      <c r="F5" s="1920"/>
      <c r="G5" s="1920"/>
      <c r="H5" s="1920"/>
      <c r="I5" s="1920" t="s">
        <v>210</v>
      </c>
      <c r="J5" s="1920"/>
      <c r="K5" s="1920"/>
      <c r="L5" s="1920"/>
      <c r="M5" s="1920" t="s">
        <v>15</v>
      </c>
      <c r="N5" s="1920"/>
      <c r="O5" s="1920"/>
      <c r="P5" s="1920"/>
      <c r="Q5" s="1911" t="s">
        <v>2</v>
      </c>
    </row>
    <row r="6" spans="1:18" ht="51" customHeight="1">
      <c r="A6" s="1917"/>
      <c r="B6" s="1919"/>
      <c r="C6" s="1268" t="s">
        <v>293</v>
      </c>
      <c r="D6" s="1919"/>
      <c r="E6" s="1268" t="s">
        <v>13</v>
      </c>
      <c r="F6" s="1268" t="s">
        <v>10</v>
      </c>
      <c r="G6" s="1268" t="s">
        <v>11</v>
      </c>
      <c r="H6" s="1268" t="s">
        <v>12</v>
      </c>
      <c r="I6" s="1268" t="s">
        <v>13</v>
      </c>
      <c r="J6" s="1268" t="s">
        <v>10</v>
      </c>
      <c r="K6" s="1268" t="s">
        <v>11</v>
      </c>
      <c r="L6" s="1268" t="s">
        <v>12</v>
      </c>
      <c r="M6" s="1268" t="s">
        <v>13</v>
      </c>
      <c r="N6" s="1268" t="s">
        <v>10</v>
      </c>
      <c r="O6" s="1268" t="s">
        <v>11</v>
      </c>
      <c r="P6" s="1268" t="s">
        <v>12</v>
      </c>
      <c r="Q6" s="1912"/>
    </row>
    <row r="7" spans="1:18" ht="24">
      <c r="A7" s="1133" t="s">
        <v>113</v>
      </c>
      <c r="B7" s="1134" t="s">
        <v>114</v>
      </c>
      <c r="C7" s="1134"/>
      <c r="D7" s="1135" t="s">
        <v>115</v>
      </c>
      <c r="E7" s="1135" t="s">
        <v>116</v>
      </c>
      <c r="F7" s="1135" t="s">
        <v>117</v>
      </c>
      <c r="G7" s="1135" t="s">
        <v>118</v>
      </c>
      <c r="H7" s="1135" t="s">
        <v>119</v>
      </c>
      <c r="I7" s="1135" t="s">
        <v>120</v>
      </c>
      <c r="J7" s="1135" t="s">
        <v>121</v>
      </c>
      <c r="K7" s="1135" t="s">
        <v>123</v>
      </c>
      <c r="L7" s="1269" t="s">
        <v>86</v>
      </c>
      <c r="M7" s="1135" t="s">
        <v>124</v>
      </c>
      <c r="N7" s="1135" t="s">
        <v>125</v>
      </c>
      <c r="O7" s="1135" t="s">
        <v>126</v>
      </c>
      <c r="P7" s="1135" t="s">
        <v>127</v>
      </c>
      <c r="Q7" s="1137" t="s">
        <v>128</v>
      </c>
    </row>
    <row r="8" spans="1:18" s="17" customFormat="1" ht="18.75" customHeight="1">
      <c r="A8" s="1270"/>
      <c r="B8" s="1271" t="s">
        <v>1625</v>
      </c>
      <c r="C8" s="1272"/>
      <c r="D8" s="1273"/>
      <c r="E8" s="1273"/>
      <c r="F8" s="1273"/>
      <c r="G8" s="1273"/>
      <c r="H8" s="1273"/>
      <c r="I8" s="1273"/>
      <c r="J8" s="1273"/>
      <c r="K8" s="1273"/>
      <c r="L8" s="1273"/>
      <c r="M8" s="1273"/>
      <c r="N8" s="1273"/>
      <c r="O8" s="1273"/>
      <c r="P8" s="1273"/>
      <c r="Q8" s="1274"/>
      <c r="R8" s="1266"/>
    </row>
    <row r="9" spans="1:18" s="18" customFormat="1" ht="18.75" customHeight="1">
      <c r="A9" s="63"/>
      <c r="B9" s="1275" t="s">
        <v>1441</v>
      </c>
      <c r="C9" s="1276"/>
      <c r="D9" s="1277"/>
      <c r="E9" s="1277"/>
      <c r="F9" s="1277"/>
      <c r="G9" s="1277"/>
      <c r="H9" s="1277"/>
      <c r="I9" s="1277"/>
      <c r="J9" s="1277"/>
      <c r="K9" s="1277"/>
      <c r="L9" s="1277"/>
      <c r="M9" s="1277"/>
      <c r="N9" s="1277"/>
      <c r="O9" s="1277"/>
      <c r="P9" s="1277"/>
      <c r="Q9" s="64"/>
    </row>
    <row r="10" spans="1:18" s="18" customFormat="1" ht="18.75" customHeight="1">
      <c r="A10" s="63"/>
      <c r="B10" s="1275" t="s">
        <v>1442</v>
      </c>
      <c r="C10" s="1276"/>
      <c r="D10" s="1277"/>
      <c r="E10" s="1277"/>
      <c r="F10" s="1277"/>
      <c r="G10" s="1277"/>
      <c r="H10" s="1277"/>
      <c r="I10" s="1277"/>
      <c r="J10" s="1277"/>
      <c r="K10" s="1277"/>
      <c r="L10" s="1277"/>
      <c r="M10" s="1277"/>
      <c r="N10" s="1277"/>
      <c r="O10" s="1277"/>
      <c r="P10" s="1277"/>
      <c r="Q10" s="64"/>
    </row>
    <row r="11" spans="1:18" s="18" customFormat="1" ht="38.25" customHeight="1">
      <c r="A11" s="63"/>
      <c r="B11" s="1275" t="s">
        <v>1629</v>
      </c>
      <c r="C11" s="1276"/>
      <c r="D11" s="1277"/>
      <c r="E11" s="1277"/>
      <c r="F11" s="1277"/>
      <c r="G11" s="1277"/>
      <c r="H11" s="1277"/>
      <c r="I11" s="1277"/>
      <c r="J11" s="1277"/>
      <c r="K11" s="1277"/>
      <c r="L11" s="1277"/>
      <c r="M11" s="1277"/>
      <c r="N11" s="1277"/>
      <c r="O11" s="1277"/>
      <c r="P11" s="1277"/>
      <c r="Q11" s="64"/>
    </row>
    <row r="12" spans="1:18" s="18" customFormat="1" ht="35.25" customHeight="1">
      <c r="A12" s="63"/>
      <c r="B12" s="1275" t="s">
        <v>1628</v>
      </c>
      <c r="C12" s="1276"/>
      <c r="D12" s="1277"/>
      <c r="E12" s="1277"/>
      <c r="F12" s="1277"/>
      <c r="G12" s="1277"/>
      <c r="H12" s="1277"/>
      <c r="I12" s="1277"/>
      <c r="J12" s="1277"/>
      <c r="K12" s="1277"/>
      <c r="L12" s="1277"/>
      <c r="M12" s="1277"/>
      <c r="N12" s="1277"/>
      <c r="O12" s="1277"/>
      <c r="P12" s="1277"/>
      <c r="Q12" s="64"/>
    </row>
    <row r="13" spans="1:18" s="18" customFormat="1" ht="18.75" customHeight="1">
      <c r="A13" s="63"/>
      <c r="B13" s="1275" t="s">
        <v>1627</v>
      </c>
      <c r="C13" s="1276"/>
      <c r="D13" s="1277"/>
      <c r="E13" s="1277"/>
      <c r="F13" s="1277"/>
      <c r="G13" s="1277"/>
      <c r="H13" s="1277"/>
      <c r="I13" s="1277"/>
      <c r="J13" s="1277"/>
      <c r="K13" s="1277"/>
      <c r="L13" s="1277"/>
      <c r="M13" s="1277"/>
      <c r="N13" s="1277"/>
      <c r="O13" s="1277"/>
      <c r="P13" s="1277"/>
      <c r="Q13" s="64"/>
    </row>
    <row r="14" spans="1:18" s="3" customFormat="1" ht="15.75" customHeight="1">
      <c r="A14" s="1778"/>
      <c r="B14" s="1779"/>
      <c r="C14" s="1779"/>
      <c r="D14" s="1780"/>
      <c r="E14" s="1781"/>
      <c r="F14" s="1781"/>
      <c r="G14" s="1781"/>
      <c r="H14" s="1781"/>
      <c r="I14" s="1781"/>
      <c r="J14" s="1781"/>
      <c r="K14" s="1781"/>
      <c r="L14" s="1781"/>
      <c r="M14" s="1781"/>
      <c r="N14" s="1781"/>
      <c r="O14" s="1781"/>
      <c r="P14" s="1781"/>
      <c r="Q14" s="1782"/>
    </row>
    <row r="15" spans="1:18" s="3" customFormat="1" ht="15.75" customHeight="1">
      <c r="A15" s="1783">
        <v>1</v>
      </c>
      <c r="B15" s="1784" t="s">
        <v>336</v>
      </c>
      <c r="C15" s="1785">
        <v>6.2</v>
      </c>
      <c r="D15" s="1786"/>
      <c r="E15" s="1787">
        <f>F15+G15+H15</f>
        <v>705</v>
      </c>
      <c r="F15" s="1787">
        <v>270</v>
      </c>
      <c r="G15" s="1787">
        <f>IF(C15&lt;3.33,165,IF(C15&lt;4.32,175,IF(C15&lt;4.4,200,IF(C15&lt;5.76,220,IF(C15&lt;6.2,260,315)))))</f>
        <v>315</v>
      </c>
      <c r="H15" s="1787">
        <f>IF(C15&lt;3.33,70,IF(C15&lt;4.32,90,IF(C15&lt;4.4,100,120)))</f>
        <v>120</v>
      </c>
      <c r="I15" s="1787">
        <f>J15+K15+L15</f>
        <v>0</v>
      </c>
      <c r="J15" s="1787">
        <f>IF(D15="TK",F15*0.3,IF(D15="PK",F15*0.25,IF(OR(D15="TBM",D15="BTLCD"),F15*0.2,IF(OR(D15="PCTCD",D15="CTCD"),F15*0.1,IF(OR(D15="TLĐT",D15="CVHT"),F15*0.15,IF(D15="NCS",F15*0.7,0))))))</f>
        <v>0</v>
      </c>
      <c r="K15" s="1787">
        <f>IF(D15="TK",G15*0.3,IF(D15="PK",G15*0.25,IF(OR(D15="TBM",D15="BTLCD"),G15*0.2,IF(OR(D15="PCTCD",D15="CTCD"),F15*0.1,IF(OR(D15="TLĐT",D15="NCS,TLĐT",D15="NCS,CVHT",D15="CVHT"),G15*0.15,0)))))</f>
        <v>0</v>
      </c>
      <c r="L15" s="1787">
        <f>IF(OR(D15="NCS",D15="NCS,TLĐT"),H15*0.7,0)</f>
        <v>0</v>
      </c>
      <c r="M15" s="1787">
        <f>N15+O15+P15</f>
        <v>705</v>
      </c>
      <c r="N15" s="1787">
        <f>F15-J15</f>
        <v>270</v>
      </c>
      <c r="O15" s="1787">
        <f>G15-K15</f>
        <v>315</v>
      </c>
      <c r="P15" s="1787">
        <f>H15-L15</f>
        <v>120</v>
      </c>
      <c r="Q15" s="1788"/>
    </row>
    <row r="16" spans="1:18" s="3" customFormat="1" ht="15.75" customHeight="1">
      <c r="A16" s="1783">
        <v>2</v>
      </c>
      <c r="B16" s="1784" t="s">
        <v>337</v>
      </c>
      <c r="C16" s="1785">
        <v>3.66</v>
      </c>
      <c r="D16" s="1786"/>
      <c r="E16" s="1787">
        <f>F16+G16+H16</f>
        <v>535</v>
      </c>
      <c r="F16" s="1787">
        <v>270</v>
      </c>
      <c r="G16" s="1787">
        <f>IF(C16&lt;3.33,165,IF(C16&lt;4.32,175,IF(C16&lt;4.4,200,IF(C16&lt;5.76,220,IF(C16&lt;6.2,260,315)))))</f>
        <v>175</v>
      </c>
      <c r="H16" s="1787">
        <f>IF(C16&lt;3.33,70,IF(C16&lt;4.32,90,IF(C16&lt;4.4,100,120)))</f>
        <v>90</v>
      </c>
      <c r="I16" s="1787">
        <f>J16+K16+L16</f>
        <v>0</v>
      </c>
      <c r="J16" s="1787">
        <f>IF(D16="TK",F16*0.3,IF(D16="PK",F16*0.25,IF(OR(D16="TBM",D16="BTLCD"),F16*0.2,IF(OR(D16="PCTCD",D16="CTCD"),F16*0.1,IF(OR(D16="TLĐT",D16="CVHT"),F16*0.15,IF(D16="NCS",F16*0.7,0))))))</f>
        <v>0</v>
      </c>
      <c r="K16" s="1787">
        <f>IF(D16="TK",G16*0.3,IF(D16="PK",G16*0.25,IF(OR(D16="TBM",D16="BTLCD"),G16*0.2,IF(OR(D16="PCTCD",D16="CTCD"),F16*0.1,IF(OR(D16="TLĐT",D16="NCS,TLĐT",D16="NCS,CVHT",D16="CVHT"),G16*0.15,0)))))</f>
        <v>0</v>
      </c>
      <c r="L16" s="1787">
        <f>IF(OR(D16="NCS",D16="NCS,TLĐT"),H16*0.7,0)</f>
        <v>0</v>
      </c>
      <c r="M16" s="1787">
        <f>N16+O16+P16</f>
        <v>535</v>
      </c>
      <c r="N16" s="1787">
        <f t="shared" ref="N16:P18" si="0">F16-J16</f>
        <v>270</v>
      </c>
      <c r="O16" s="1787">
        <f t="shared" si="0"/>
        <v>175</v>
      </c>
      <c r="P16" s="1787">
        <f t="shared" si="0"/>
        <v>90</v>
      </c>
      <c r="Q16" s="1789"/>
    </row>
    <row r="17" spans="1:18" s="3" customFormat="1" ht="15.75" customHeight="1">
      <c r="A17" s="1783">
        <v>3</v>
      </c>
      <c r="B17" s="1784" t="s">
        <v>338</v>
      </c>
      <c r="C17" s="1790">
        <v>3.66</v>
      </c>
      <c r="D17" s="1786"/>
      <c r="E17" s="1787">
        <f>F17+G17+H17</f>
        <v>535</v>
      </c>
      <c r="F17" s="1787">
        <v>270</v>
      </c>
      <c r="G17" s="1787">
        <f>IF(C17&lt;3.33,165,IF(C17&lt;4.32,175,IF(C17&lt;4.4,200,IF(C17&lt;5.76,220,IF(C17&lt;6.2,260,315)))))</f>
        <v>175</v>
      </c>
      <c r="H17" s="1787">
        <f>IF(C17&lt;3.33,70,IF(C17&lt;4.32,90,IF(C17&lt;4.4,100,120)))</f>
        <v>90</v>
      </c>
      <c r="I17" s="1787">
        <f>J17+K17+L17</f>
        <v>0</v>
      </c>
      <c r="J17" s="1787">
        <f>IF(D17="TK",F17*0.3,IF(D17="PK",F17*0.25,IF(OR(D17="TBM",D17="BTLCD"),F17*0.2,IF(OR(D17="PCTCD",D17="CTCD"),F17*0.1,IF(OR(D17="TLĐT",D17="CVHT"),F17*0.15,IF(D17="NCS",F17*0.7,0))))))</f>
        <v>0</v>
      </c>
      <c r="K17" s="1787">
        <f>IF(D17="TK",G17*0.3,IF(D17="PK",G17*0.25,IF(OR(D17="TBM",D17="BTLCD"),G17*0.2,IF(OR(D17="PCTCD",D17="CTCD"),F17*0.1,IF(OR(D17="TLĐT",D17="NCS,TLĐT",D17="NCS,CVHT",D17="CVHT"),G17*0.15,0)))))</f>
        <v>0</v>
      </c>
      <c r="L17" s="1787">
        <f>IF(OR(D17="NCS",D17="NCS,TLĐT"),H17*0.7,0)</f>
        <v>0</v>
      </c>
      <c r="M17" s="1787">
        <f>N17+O17+P17</f>
        <v>535</v>
      </c>
      <c r="N17" s="1787">
        <f t="shared" si="0"/>
        <v>270</v>
      </c>
      <c r="O17" s="1787">
        <f t="shared" si="0"/>
        <v>175</v>
      </c>
      <c r="P17" s="1787">
        <f t="shared" si="0"/>
        <v>90</v>
      </c>
      <c r="Q17" s="1791"/>
    </row>
    <row r="18" spans="1:18" s="3" customFormat="1" ht="15.75" customHeight="1">
      <c r="A18" s="1783">
        <v>4</v>
      </c>
      <c r="B18" s="1792" t="s">
        <v>339</v>
      </c>
      <c r="C18" s="1790">
        <v>2.34</v>
      </c>
      <c r="D18" s="1790" t="s">
        <v>329</v>
      </c>
      <c r="E18" s="1787">
        <f>F18+G18+H18</f>
        <v>505</v>
      </c>
      <c r="F18" s="1787">
        <v>270</v>
      </c>
      <c r="G18" s="1787">
        <f>IF(C18&lt;3.33,165,IF(C18&lt;4.32,175,IF(C18&lt;4.4,200,IF(C18&lt;5.76,220,IF(C18&lt;6.2,260,315)))))</f>
        <v>165</v>
      </c>
      <c r="H18" s="1787">
        <f>IF(C18&lt;3.33,70,IF(C18&lt;4.32,90,IF(C18&lt;4.4,100,120)))</f>
        <v>70</v>
      </c>
      <c r="I18" s="1787">
        <f>J18+K18+L18</f>
        <v>65.25</v>
      </c>
      <c r="J18" s="1787">
        <f>IF(D18="TK",F18*0.3,IF(D18="PK",F18*0.25,IF(OR(D18="TBM",D18="BTLCD"),F18*0.2,IF(OR(D18="PCTCD",D18="CTCD"),F18*0.1,IF(OR(D18="TLĐT",D18="CVHT"),F18*0.15,IF(D18="NCS",F18*0.7,0))))))</f>
        <v>40.5</v>
      </c>
      <c r="K18" s="1787">
        <f>IF(D18="TK",G18*0.3,IF(D18="PK",G18*0.25,IF(OR(D18="TBM",D18="BTLCD"),G18*0.2,IF(OR(D18="PCTCD",D18="CTCD"),F18*0.1,IF(OR(D18="TLĐT",D18="NCS,TLĐT",D18="NCS,CVHT",D18="CVHT"),G18*0.15,0)))))</f>
        <v>24.75</v>
      </c>
      <c r="L18" s="1787">
        <f>IF(OR(D18="NCS",D18="NCS,TLĐT"),H18*0.7,0)</f>
        <v>0</v>
      </c>
      <c r="M18" s="1787">
        <f>N18+O18+P18</f>
        <v>439.75</v>
      </c>
      <c r="N18" s="1787">
        <f t="shared" si="0"/>
        <v>229.5</v>
      </c>
      <c r="O18" s="1787">
        <f t="shared" si="0"/>
        <v>140.25</v>
      </c>
      <c r="P18" s="1787">
        <f t="shared" si="0"/>
        <v>70</v>
      </c>
      <c r="Q18" s="1793" t="s">
        <v>838</v>
      </c>
    </row>
    <row r="19" spans="1:18" s="3" customFormat="1" ht="15.75" customHeight="1">
      <c r="A19" s="1794">
        <v>5</v>
      </c>
      <c r="B19" s="1795" t="s">
        <v>1626</v>
      </c>
      <c r="C19" s="1796">
        <v>2.34</v>
      </c>
      <c r="D19" s="1796"/>
      <c r="E19" s="1797"/>
      <c r="F19" s="1797"/>
      <c r="G19" s="1797"/>
      <c r="H19" s="1797"/>
      <c r="I19" s="1797"/>
      <c r="J19" s="1797"/>
      <c r="K19" s="1797"/>
      <c r="L19" s="1797"/>
      <c r="M19" s="1797"/>
      <c r="N19" s="1797"/>
      <c r="O19" s="1797"/>
      <c r="P19" s="1797"/>
      <c r="Q19" s="1798" t="s">
        <v>1630</v>
      </c>
    </row>
    <row r="20" spans="1:18" s="3" customFormat="1" ht="15.75" customHeight="1" thickBot="1">
      <c r="A20" s="1913" t="s">
        <v>320</v>
      </c>
      <c r="B20" s="1914"/>
      <c r="C20" s="1773"/>
      <c r="D20" s="1774"/>
      <c r="E20" s="1775">
        <f t="shared" ref="E20:P20" si="1">SUM(E15:E18)</f>
        <v>2280</v>
      </c>
      <c r="F20" s="1775">
        <f t="shared" si="1"/>
        <v>1080</v>
      </c>
      <c r="G20" s="1775">
        <f t="shared" si="1"/>
        <v>830</v>
      </c>
      <c r="H20" s="1775">
        <f t="shared" si="1"/>
        <v>370</v>
      </c>
      <c r="I20" s="1775">
        <f t="shared" si="1"/>
        <v>65.25</v>
      </c>
      <c r="J20" s="1775">
        <f t="shared" si="1"/>
        <v>40.5</v>
      </c>
      <c r="K20" s="1775">
        <f t="shared" si="1"/>
        <v>24.75</v>
      </c>
      <c r="L20" s="1775">
        <f t="shared" si="1"/>
        <v>0</v>
      </c>
      <c r="M20" s="1775">
        <f t="shared" si="1"/>
        <v>2214.75</v>
      </c>
      <c r="N20" s="1776">
        <f>SUM(N15:N18)</f>
        <v>1039.5</v>
      </c>
      <c r="O20" s="1775">
        <f t="shared" si="1"/>
        <v>805.25</v>
      </c>
      <c r="P20" s="1775">
        <f t="shared" si="1"/>
        <v>370</v>
      </c>
      <c r="Q20" s="1777"/>
      <c r="R20" s="1267"/>
    </row>
    <row r="21" spans="1:18" ht="14" thickTop="1">
      <c r="A21" s="124"/>
      <c r="B21" s="10"/>
      <c r="C21" s="10"/>
      <c r="D21" s="10"/>
      <c r="J21" s="903"/>
      <c r="K21" s="903"/>
      <c r="L21" s="903"/>
      <c r="M21" s="903"/>
      <c r="N21" s="1921" t="s">
        <v>883</v>
      </c>
      <c r="O21" s="1921"/>
      <c r="P21" s="1921"/>
      <c r="Q21" s="1921"/>
      <c r="R21" s="42"/>
    </row>
    <row r="22" spans="1:18">
      <c r="A22" s="124"/>
      <c r="B22" s="15"/>
      <c r="C22" s="15"/>
      <c r="D22" s="10"/>
      <c r="F22" s="72"/>
      <c r="G22" s="72"/>
      <c r="H22" s="72"/>
      <c r="I22" s="72"/>
      <c r="J22" s="72"/>
      <c r="K22" s="72"/>
      <c r="L22" s="72"/>
      <c r="M22" s="72"/>
      <c r="N22" s="1846" t="s">
        <v>20</v>
      </c>
      <c r="O22" s="1846"/>
      <c r="P22" s="1846"/>
      <c r="Q22" s="1846"/>
    </row>
    <row r="23" spans="1:18" ht="27" customHeight="1">
      <c r="A23" s="1915" t="s">
        <v>236</v>
      </c>
      <c r="B23" s="1915"/>
      <c r="C23" s="1915"/>
      <c r="D23" s="1915"/>
      <c r="E23" s="1915"/>
      <c r="F23" s="1915"/>
      <c r="G23" s="1915"/>
      <c r="H23" s="1915"/>
      <c r="I23" s="1915"/>
      <c r="J23" s="1915"/>
      <c r="K23" s="1915"/>
      <c r="L23" s="1915"/>
      <c r="M23" s="1915"/>
      <c r="N23" s="23"/>
      <c r="O23" s="23"/>
      <c r="P23" s="23"/>
      <c r="Q23" s="23"/>
    </row>
    <row r="24" spans="1:18">
      <c r="A24" s="124"/>
      <c r="B24" s="16"/>
      <c r="C24" s="16"/>
      <c r="D24" s="10"/>
      <c r="E24" s="1846"/>
      <c r="F24" s="1846"/>
      <c r="G24" s="1846"/>
      <c r="H24" s="1846"/>
      <c r="I24" s="1846"/>
      <c r="J24" s="1846"/>
      <c r="K24" s="1846"/>
      <c r="L24" s="1846"/>
      <c r="M24" s="1846"/>
      <c r="N24" s="1846"/>
      <c r="O24" s="1846"/>
      <c r="P24" s="1846"/>
      <c r="Q24" s="1846"/>
    </row>
    <row r="25" spans="1:18">
      <c r="A25" s="124"/>
      <c r="B25" s="10"/>
      <c r="C25" s="10"/>
      <c r="D25" s="10"/>
      <c r="E25" s="1910"/>
      <c r="F25" s="1910"/>
      <c r="G25" s="1910"/>
      <c r="H25" s="1910"/>
      <c r="I25" s="1910"/>
      <c r="J25" s="1910"/>
      <c r="K25" s="1910"/>
      <c r="L25" s="1910"/>
      <c r="M25" s="1910"/>
      <c r="N25" s="1910"/>
      <c r="O25" s="1910"/>
      <c r="P25" s="1910"/>
      <c r="Q25" s="1910"/>
    </row>
    <row r="26" spans="1:18" ht="12.5" customHeight="1">
      <c r="N26" s="1909" t="s">
        <v>843</v>
      </c>
      <c r="O26" s="1909"/>
      <c r="P26" s="1909"/>
      <c r="Q26" s="1909"/>
    </row>
  </sheetData>
  <mergeCells count="20">
    <mergeCell ref="H4:Q4"/>
    <mergeCell ref="A1:B1"/>
    <mergeCell ref="E1:P1"/>
    <mergeCell ref="A2:B2"/>
    <mergeCell ref="E2:P2"/>
    <mergeCell ref="A3:Q3"/>
    <mergeCell ref="N26:Q26"/>
    <mergeCell ref="E25:Q25"/>
    <mergeCell ref="Q5:Q6"/>
    <mergeCell ref="A20:B20"/>
    <mergeCell ref="N22:Q22"/>
    <mergeCell ref="A23:M23"/>
    <mergeCell ref="E24:Q24"/>
    <mergeCell ref="A5:A6"/>
    <mergeCell ref="B5:B6"/>
    <mergeCell ref="D5:D6"/>
    <mergeCell ref="E5:H5"/>
    <mergeCell ref="I5:L5"/>
    <mergeCell ref="M5:P5"/>
    <mergeCell ref="N21:Q21"/>
  </mergeCells>
  <pageMargins left="0.47" right="0.39" top="0.89" bottom="0.34" header="0.45" footer="0.21"/>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29"/>
  <sheetViews>
    <sheetView view="pageBreakPreview" zoomScale="85" zoomScaleNormal="115" zoomScaleSheetLayoutView="85" zoomScalePageLayoutView="115" workbookViewId="0">
      <pane xSplit="2" ySplit="7" topLeftCell="C8" activePane="bottomRight" state="frozen"/>
      <selection pane="topRight" activeCell="C1" sqref="C1"/>
      <selection pane="bottomLeft" activeCell="A8" sqref="A8"/>
      <selection pane="bottomRight" activeCell="M20" sqref="M20"/>
    </sheetView>
  </sheetViews>
  <sheetFormatPr baseColWidth="10" defaultColWidth="8.83203125" defaultRowHeight="13"/>
  <cols>
    <col min="1" max="1" width="5.5" style="1" customWidth="1"/>
    <col min="2" max="2" width="29.1640625" style="2" customWidth="1"/>
    <col min="3" max="4" width="6.5" style="2" customWidth="1"/>
    <col min="5" max="6" width="5.6640625" customWidth="1"/>
    <col min="7" max="7" width="6.5" customWidth="1"/>
    <col min="8" max="8" width="6.6640625" customWidth="1"/>
    <col min="9" max="10" width="5.6640625" customWidth="1"/>
    <col min="11" max="11" width="6.1640625" customWidth="1"/>
    <col min="12" max="12" width="7.33203125" customWidth="1"/>
    <col min="13" max="13" width="5.6640625" customWidth="1"/>
    <col min="14" max="14" width="6.33203125" customWidth="1"/>
    <col min="15" max="15" width="6.5" customWidth="1"/>
    <col min="16" max="16" width="7.1640625" customWidth="1"/>
    <col min="17" max="17" width="20.33203125" customWidth="1"/>
  </cols>
  <sheetData>
    <row r="1" spans="1:17" ht="14.25" customHeight="1">
      <c r="A1" s="1923" t="s">
        <v>3</v>
      </c>
      <c r="B1" s="1923"/>
      <c r="C1" s="125"/>
      <c r="D1" s="10"/>
      <c r="E1" s="1924"/>
      <c r="F1" s="1924"/>
      <c r="G1" s="1924"/>
      <c r="H1" s="1924"/>
      <c r="I1" s="1924"/>
      <c r="J1" s="1924"/>
      <c r="K1" s="1924"/>
      <c r="L1" s="1924"/>
      <c r="M1" s="1924"/>
      <c r="N1" s="1924"/>
      <c r="O1" s="1924"/>
      <c r="P1" s="1924"/>
      <c r="Q1" s="122" t="s">
        <v>1576</v>
      </c>
    </row>
    <row r="2" spans="1:17" ht="16.5" customHeight="1">
      <c r="A2" s="1846" t="s">
        <v>294</v>
      </c>
      <c r="B2" s="1846"/>
      <c r="C2" s="123"/>
      <c r="D2" s="10"/>
      <c r="E2" s="1904"/>
      <c r="F2" s="1904"/>
      <c r="G2" s="1904"/>
      <c r="H2" s="1904"/>
      <c r="I2" s="1904"/>
      <c r="J2" s="1904"/>
      <c r="K2" s="1904"/>
      <c r="L2" s="1904"/>
      <c r="M2" s="1904"/>
      <c r="N2" s="1904"/>
      <c r="O2" s="1904"/>
      <c r="P2" s="1904"/>
      <c r="Q2" s="11"/>
    </row>
    <row r="3" spans="1:17" ht="21.75" customHeight="1">
      <c r="A3" s="1844" t="s">
        <v>935</v>
      </c>
      <c r="B3" s="1844"/>
      <c r="C3" s="1844"/>
      <c r="D3" s="1844"/>
      <c r="E3" s="1844"/>
      <c r="F3" s="1844"/>
      <c r="G3" s="1844"/>
      <c r="H3" s="1844"/>
      <c r="I3" s="1844"/>
      <c r="J3" s="1844"/>
      <c r="K3" s="1844"/>
      <c r="L3" s="1844"/>
      <c r="M3" s="1844"/>
      <c r="N3" s="1844"/>
      <c r="O3" s="1844"/>
      <c r="P3" s="1844"/>
      <c r="Q3" s="1844"/>
    </row>
    <row r="4" spans="1:17" ht="14" thickBot="1">
      <c r="A4" s="42"/>
      <c r="B4" s="42"/>
      <c r="C4" s="42"/>
      <c r="D4" s="42"/>
      <c r="E4" s="42"/>
      <c r="F4" s="42"/>
      <c r="G4" s="42"/>
      <c r="H4" s="1922" t="s">
        <v>73</v>
      </c>
      <c r="I4" s="1922"/>
      <c r="J4" s="1922"/>
      <c r="K4" s="1922"/>
      <c r="L4" s="1922"/>
      <c r="M4" s="1922"/>
      <c r="N4" s="1922"/>
      <c r="O4" s="1922"/>
      <c r="P4" s="1922"/>
      <c r="Q4" s="1922"/>
    </row>
    <row r="5" spans="1:17" ht="27.75" customHeight="1" thickTop="1">
      <c r="A5" s="1916" t="s">
        <v>0</v>
      </c>
      <c r="B5" s="1918" t="s">
        <v>8</v>
      </c>
      <c r="C5" s="127"/>
      <c r="D5" s="1918" t="s">
        <v>9</v>
      </c>
      <c r="E5" s="1920" t="s">
        <v>14</v>
      </c>
      <c r="F5" s="1920"/>
      <c r="G5" s="1920"/>
      <c r="H5" s="1920"/>
      <c r="I5" s="1920" t="s">
        <v>210</v>
      </c>
      <c r="J5" s="1920"/>
      <c r="K5" s="1920"/>
      <c r="L5" s="1920"/>
      <c r="M5" s="1920" t="s">
        <v>15</v>
      </c>
      <c r="N5" s="1920"/>
      <c r="O5" s="1920"/>
      <c r="P5" s="1920"/>
      <c r="Q5" s="1911" t="s">
        <v>2</v>
      </c>
    </row>
    <row r="6" spans="1:17" ht="51" customHeight="1">
      <c r="A6" s="1917"/>
      <c r="B6" s="1928"/>
      <c r="C6" s="128" t="s">
        <v>293</v>
      </c>
      <c r="D6" s="1928"/>
      <c r="E6" s="128" t="s">
        <v>13</v>
      </c>
      <c r="F6" s="128" t="s">
        <v>10</v>
      </c>
      <c r="G6" s="128" t="s">
        <v>11</v>
      </c>
      <c r="H6" s="128" t="s">
        <v>12</v>
      </c>
      <c r="I6" s="128" t="s">
        <v>13</v>
      </c>
      <c r="J6" s="128" t="s">
        <v>10</v>
      </c>
      <c r="K6" s="128" t="s">
        <v>11</v>
      </c>
      <c r="L6" s="128" t="s">
        <v>12</v>
      </c>
      <c r="M6" s="128" t="s">
        <v>13</v>
      </c>
      <c r="N6" s="128" t="s">
        <v>10</v>
      </c>
      <c r="O6" s="128" t="s">
        <v>11</v>
      </c>
      <c r="P6" s="128" t="s">
        <v>12</v>
      </c>
      <c r="Q6" s="1912"/>
    </row>
    <row r="7" spans="1:17" ht="24">
      <c r="A7" s="54" t="s">
        <v>113</v>
      </c>
      <c r="B7" s="47" t="s">
        <v>114</v>
      </c>
      <c r="C7" s="47"/>
      <c r="D7" s="48" t="s">
        <v>115</v>
      </c>
      <c r="E7" s="48" t="s">
        <v>116</v>
      </c>
      <c r="F7" s="48" t="s">
        <v>117</v>
      </c>
      <c r="G7" s="48" t="s">
        <v>118</v>
      </c>
      <c r="H7" s="48" t="s">
        <v>119</v>
      </c>
      <c r="I7" s="48" t="s">
        <v>120</v>
      </c>
      <c r="J7" s="48" t="s">
        <v>121</v>
      </c>
      <c r="K7" s="48" t="s">
        <v>123</v>
      </c>
      <c r="L7" s="49" t="s">
        <v>86</v>
      </c>
      <c r="M7" s="48" t="s">
        <v>124</v>
      </c>
      <c r="N7" s="48" t="s">
        <v>125</v>
      </c>
      <c r="O7" s="48" t="s">
        <v>126</v>
      </c>
      <c r="P7" s="48" t="s">
        <v>127</v>
      </c>
      <c r="Q7" s="55" t="s">
        <v>128</v>
      </c>
    </row>
    <row r="8" spans="1:17" s="17" customFormat="1" ht="18.75" customHeight="1">
      <c r="A8" s="61"/>
      <c r="B8" s="153" t="s">
        <v>545</v>
      </c>
      <c r="C8" s="19"/>
      <c r="D8" s="22"/>
      <c r="E8" s="22"/>
      <c r="F8" s="22"/>
      <c r="G8" s="22"/>
      <c r="H8" s="22"/>
      <c r="I8" s="22"/>
      <c r="J8" s="22"/>
      <c r="K8" s="22"/>
      <c r="L8" s="22"/>
      <c r="M8" s="22"/>
      <c r="N8" s="22"/>
      <c r="O8" s="22"/>
      <c r="P8" s="22"/>
      <c r="Q8" s="62"/>
    </row>
    <row r="9" spans="1:17" s="18" customFormat="1" ht="18.75" customHeight="1">
      <c r="A9" s="63"/>
      <c r="B9" s="154" t="s">
        <v>1443</v>
      </c>
      <c r="C9" s="21"/>
      <c r="D9" s="20"/>
      <c r="E9" s="20"/>
      <c r="F9" s="20"/>
      <c r="G9" s="20"/>
      <c r="H9" s="20"/>
      <c r="I9" s="20"/>
      <c r="J9" s="20"/>
      <c r="K9" s="20"/>
      <c r="L9" s="20"/>
      <c r="M9" s="20"/>
      <c r="N9" s="20"/>
      <c r="O9" s="20"/>
      <c r="P9" s="20"/>
      <c r="Q9" s="64"/>
    </row>
    <row r="10" spans="1:17" s="18" customFormat="1" ht="18.75" customHeight="1">
      <c r="A10" s="63"/>
      <c r="B10" s="154" t="s">
        <v>1444</v>
      </c>
      <c r="C10" s="21"/>
      <c r="D10" s="20"/>
      <c r="E10" s="20"/>
      <c r="F10" s="20"/>
      <c r="G10" s="20"/>
      <c r="H10" s="20"/>
      <c r="I10" s="20"/>
      <c r="J10" s="20"/>
      <c r="K10" s="20"/>
      <c r="L10" s="20"/>
      <c r="M10" s="20"/>
      <c r="N10" s="20"/>
      <c r="O10" s="20"/>
      <c r="P10" s="20"/>
      <c r="Q10" s="64"/>
    </row>
    <row r="11" spans="1:17" s="18" customFormat="1" ht="22.5" customHeight="1">
      <c r="A11" s="63"/>
      <c r="B11" s="154" t="s">
        <v>841</v>
      </c>
      <c r="C11" s="21"/>
      <c r="D11" s="20"/>
      <c r="E11" s="20"/>
      <c r="F11" s="20"/>
      <c r="G11" s="20"/>
      <c r="H11" s="20"/>
      <c r="I11" s="20"/>
      <c r="J11" s="20"/>
      <c r="K11" s="20"/>
      <c r="L11" s="20"/>
      <c r="M11" s="20"/>
      <c r="N11" s="20"/>
      <c r="O11" s="20"/>
      <c r="P11" s="20"/>
      <c r="Q11" s="64"/>
    </row>
    <row r="12" spans="1:17" s="18" customFormat="1" ht="18.75" customHeight="1">
      <c r="A12" s="63"/>
      <c r="B12" s="154" t="s">
        <v>526</v>
      </c>
      <c r="C12" s="21"/>
      <c r="D12" s="20"/>
      <c r="E12" s="20"/>
      <c r="F12" s="20"/>
      <c r="G12" s="20"/>
      <c r="H12" s="20"/>
      <c r="I12" s="20"/>
      <c r="J12" s="20"/>
      <c r="K12" s="20"/>
      <c r="L12" s="20"/>
      <c r="M12" s="20"/>
      <c r="N12" s="20"/>
      <c r="O12" s="20"/>
      <c r="P12" s="20"/>
      <c r="Q12" s="64"/>
    </row>
    <row r="13" spans="1:17" s="18" customFormat="1" ht="18.75" customHeight="1">
      <c r="A13" s="63"/>
      <c r="B13" s="154" t="s">
        <v>1458</v>
      </c>
      <c r="C13" s="21"/>
      <c r="D13" s="20"/>
      <c r="E13" s="20"/>
      <c r="F13" s="20"/>
      <c r="G13" s="20"/>
      <c r="H13" s="20"/>
      <c r="I13" s="20"/>
      <c r="J13" s="20"/>
      <c r="K13" s="20"/>
      <c r="L13" s="20"/>
      <c r="M13" s="20"/>
      <c r="N13" s="20"/>
      <c r="O13" s="20"/>
      <c r="P13" s="20"/>
      <c r="Q13" s="64"/>
    </row>
    <row r="14" spans="1:17" s="3" customFormat="1" ht="15.75" customHeight="1">
      <c r="A14" s="65"/>
      <c r="B14" s="66"/>
      <c r="C14" s="66"/>
      <c r="D14" s="67"/>
      <c r="E14" s="68"/>
      <c r="F14" s="68"/>
      <c r="G14" s="68"/>
      <c r="H14" s="68"/>
      <c r="I14" s="68"/>
      <c r="J14" s="68"/>
      <c r="K14" s="68"/>
      <c r="L14" s="68"/>
      <c r="M14" s="68"/>
      <c r="N14" s="68"/>
      <c r="O14" s="68"/>
      <c r="P14" s="68"/>
      <c r="Q14" s="69"/>
    </row>
    <row r="15" spans="1:17" s="3" customFormat="1" ht="15.75" customHeight="1">
      <c r="A15" s="888">
        <v>1</v>
      </c>
      <c r="B15" s="889" t="s">
        <v>330</v>
      </c>
      <c r="C15" s="890">
        <v>6.78</v>
      </c>
      <c r="D15" s="891"/>
      <c r="E15" s="892">
        <f t="shared" ref="E15:E20" si="0">F15+G15+H15</f>
        <v>705</v>
      </c>
      <c r="F15" s="892">
        <v>270</v>
      </c>
      <c r="G15" s="892">
        <f t="shared" ref="G15:G20" si="1">IF(C15&lt;3.33,165,IF(C15&lt;4.32,175,IF(C15&lt;4.4,200,IF(C15&lt;5.76,220,IF(C15&lt;6.2,260,315)))))</f>
        <v>315</v>
      </c>
      <c r="H15" s="892">
        <f t="shared" ref="H15:H20" si="2">IF(C15&lt;3.33,70,IF(C15&lt;4.32,90,IF(C15&lt;4.4,100,120)))</f>
        <v>120</v>
      </c>
      <c r="I15" s="892">
        <f t="shared" ref="I15:I20" si="3">J15+K15+L15</f>
        <v>0</v>
      </c>
      <c r="J15" s="892">
        <f t="shared" ref="J15:J20" si="4">IF(D15="TK",F15*0.3,IF(D15="PK",F15*0.25,IF(OR(D15="TBM",D15="BTLCD"),F15*0.2,IF(OR(D15="PCTCD",D15="CTCD"),F15*0.1,IF(OR(D15="TLĐT",D15="CVHT"),F15*0.15,IF(D15="NCS",F15*0.7,0))))))</f>
        <v>0</v>
      </c>
      <c r="K15" s="892">
        <f t="shared" ref="K15:K20" si="5">IF(D15="TK",G15*0.3,IF(D15="PK",G15*0.25,IF(OR(D15="TBM",D15="BTLCD"),G15*0.2,IF(OR(D15="PCTCD",D15="CTCD"),F15*0.1,IF(OR(D15="TLĐT",D15="NCS,TLĐT",D15="NCS,CVHT",D15="CVHT"),G15*0.15,0)))))</f>
        <v>0</v>
      </c>
      <c r="L15" s="892">
        <f t="shared" ref="L15:L20" si="6">IF(OR(D15="NCS",D15="NCS,TLĐT"),H15*0.7,0)</f>
        <v>0</v>
      </c>
      <c r="M15" s="892">
        <f t="shared" ref="M15:M20" si="7">N15+O15+P15</f>
        <v>705</v>
      </c>
      <c r="N15" s="892">
        <f>F15-J15</f>
        <v>270</v>
      </c>
      <c r="O15" s="892">
        <f>G15-K15</f>
        <v>315</v>
      </c>
      <c r="P15" s="892">
        <f>H15-L15</f>
        <v>120</v>
      </c>
      <c r="Q15" s="893"/>
    </row>
    <row r="16" spans="1:17" s="3" customFormat="1" ht="15.75" customHeight="1">
      <c r="A16" s="873">
        <v>2</v>
      </c>
      <c r="B16" s="874" t="s">
        <v>331</v>
      </c>
      <c r="C16" s="875">
        <v>3.66</v>
      </c>
      <c r="D16" s="876" t="s">
        <v>311</v>
      </c>
      <c r="E16" s="877">
        <f t="shared" si="0"/>
        <v>535</v>
      </c>
      <c r="F16" s="877">
        <v>270</v>
      </c>
      <c r="G16" s="877">
        <f t="shared" si="1"/>
        <v>175</v>
      </c>
      <c r="H16" s="877">
        <f t="shared" si="2"/>
        <v>90</v>
      </c>
      <c r="I16" s="877">
        <f t="shared" si="3"/>
        <v>89</v>
      </c>
      <c r="J16" s="877">
        <f t="shared" si="4"/>
        <v>54</v>
      </c>
      <c r="K16" s="877">
        <f t="shared" si="5"/>
        <v>35</v>
      </c>
      <c r="L16" s="877">
        <f t="shared" si="6"/>
        <v>0</v>
      </c>
      <c r="M16" s="877">
        <f t="shared" si="7"/>
        <v>446</v>
      </c>
      <c r="N16" s="877">
        <f t="shared" ref="N16:P20" si="8">F16-J16</f>
        <v>216</v>
      </c>
      <c r="O16" s="877">
        <f t="shared" si="8"/>
        <v>140</v>
      </c>
      <c r="P16" s="877">
        <f t="shared" si="8"/>
        <v>90</v>
      </c>
      <c r="Q16" s="878" t="s">
        <v>300</v>
      </c>
    </row>
    <row r="17" spans="1:17" s="3" customFormat="1" ht="15.75" customHeight="1">
      <c r="A17" s="873">
        <v>3</v>
      </c>
      <c r="B17" s="874" t="s">
        <v>332</v>
      </c>
      <c r="C17" s="894">
        <v>3.99</v>
      </c>
      <c r="D17" s="876" t="s">
        <v>789</v>
      </c>
      <c r="E17" s="877">
        <f t="shared" si="0"/>
        <v>535</v>
      </c>
      <c r="F17" s="877">
        <v>270</v>
      </c>
      <c r="G17" s="877">
        <f t="shared" si="1"/>
        <v>175</v>
      </c>
      <c r="H17" s="877">
        <f t="shared" si="2"/>
        <v>90</v>
      </c>
      <c r="I17" s="877">
        <f t="shared" si="3"/>
        <v>54</v>
      </c>
      <c r="J17" s="877">
        <f t="shared" si="4"/>
        <v>27</v>
      </c>
      <c r="K17" s="877">
        <f t="shared" si="5"/>
        <v>27</v>
      </c>
      <c r="L17" s="877">
        <f t="shared" si="6"/>
        <v>0</v>
      </c>
      <c r="M17" s="877">
        <f t="shared" si="7"/>
        <v>481</v>
      </c>
      <c r="N17" s="877">
        <f t="shared" si="8"/>
        <v>243</v>
      </c>
      <c r="O17" s="877">
        <f t="shared" si="8"/>
        <v>148</v>
      </c>
      <c r="P17" s="877">
        <f t="shared" si="8"/>
        <v>90</v>
      </c>
      <c r="Q17" s="879" t="s">
        <v>535</v>
      </c>
    </row>
    <row r="18" spans="1:17" s="3" customFormat="1" ht="15.75" customHeight="1">
      <c r="A18" s="873">
        <v>4</v>
      </c>
      <c r="B18" s="874" t="s">
        <v>333</v>
      </c>
      <c r="C18" s="880">
        <v>4.32</v>
      </c>
      <c r="D18" s="876"/>
      <c r="E18" s="877">
        <f t="shared" si="0"/>
        <v>570</v>
      </c>
      <c r="F18" s="877">
        <v>270</v>
      </c>
      <c r="G18" s="877">
        <f t="shared" si="1"/>
        <v>200</v>
      </c>
      <c r="H18" s="877">
        <f t="shared" si="2"/>
        <v>100</v>
      </c>
      <c r="I18" s="877">
        <f t="shared" si="3"/>
        <v>0</v>
      </c>
      <c r="J18" s="877">
        <f t="shared" si="4"/>
        <v>0</v>
      </c>
      <c r="K18" s="877">
        <f t="shared" si="5"/>
        <v>0</v>
      </c>
      <c r="L18" s="877">
        <f t="shared" si="6"/>
        <v>0</v>
      </c>
      <c r="M18" s="877">
        <f t="shared" si="7"/>
        <v>570</v>
      </c>
      <c r="N18" s="877">
        <f t="shared" si="8"/>
        <v>270</v>
      </c>
      <c r="O18" s="877">
        <f t="shared" si="8"/>
        <v>200</v>
      </c>
      <c r="P18" s="877">
        <f t="shared" si="8"/>
        <v>100</v>
      </c>
      <c r="Q18" s="881"/>
    </row>
    <row r="19" spans="1:17" s="3" customFormat="1" ht="15.75" customHeight="1">
      <c r="A19" s="873">
        <v>5</v>
      </c>
      <c r="B19" s="874" t="s">
        <v>334</v>
      </c>
      <c r="C19" s="880">
        <v>5.08</v>
      </c>
      <c r="D19" s="876"/>
      <c r="E19" s="877">
        <f t="shared" si="0"/>
        <v>610</v>
      </c>
      <c r="F19" s="877">
        <v>270</v>
      </c>
      <c r="G19" s="877">
        <f t="shared" si="1"/>
        <v>220</v>
      </c>
      <c r="H19" s="877">
        <f t="shared" si="2"/>
        <v>120</v>
      </c>
      <c r="I19" s="877">
        <f t="shared" si="3"/>
        <v>0</v>
      </c>
      <c r="J19" s="877">
        <f t="shared" si="4"/>
        <v>0</v>
      </c>
      <c r="K19" s="877">
        <f t="shared" si="5"/>
        <v>0</v>
      </c>
      <c r="L19" s="877">
        <f t="shared" si="6"/>
        <v>0</v>
      </c>
      <c r="M19" s="877">
        <f t="shared" si="7"/>
        <v>610</v>
      </c>
      <c r="N19" s="877">
        <f t="shared" si="8"/>
        <v>270</v>
      </c>
      <c r="O19" s="877">
        <f t="shared" si="8"/>
        <v>220</v>
      </c>
      <c r="P19" s="877">
        <f t="shared" si="8"/>
        <v>120</v>
      </c>
      <c r="Q19" s="881"/>
    </row>
    <row r="20" spans="1:17" s="3" customFormat="1" ht="15.75" customHeight="1">
      <c r="A20" s="873">
        <v>6</v>
      </c>
      <c r="B20" s="882" t="s">
        <v>335</v>
      </c>
      <c r="C20" s="875">
        <v>2.34</v>
      </c>
      <c r="D20" s="876" t="s">
        <v>329</v>
      </c>
      <c r="E20" s="877">
        <f t="shared" si="0"/>
        <v>505</v>
      </c>
      <c r="F20" s="877">
        <v>270</v>
      </c>
      <c r="G20" s="877">
        <f t="shared" si="1"/>
        <v>165</v>
      </c>
      <c r="H20" s="877">
        <f t="shared" si="2"/>
        <v>70</v>
      </c>
      <c r="I20" s="877">
        <f t="shared" si="3"/>
        <v>65.25</v>
      </c>
      <c r="J20" s="877">
        <f t="shared" si="4"/>
        <v>40.5</v>
      </c>
      <c r="K20" s="877">
        <f t="shared" si="5"/>
        <v>24.75</v>
      </c>
      <c r="L20" s="877">
        <f t="shared" si="6"/>
        <v>0</v>
      </c>
      <c r="M20" s="877">
        <f t="shared" si="7"/>
        <v>439.75</v>
      </c>
      <c r="N20" s="877">
        <f t="shared" si="8"/>
        <v>229.5</v>
      </c>
      <c r="O20" s="877">
        <f t="shared" si="8"/>
        <v>140.25</v>
      </c>
      <c r="P20" s="877">
        <f t="shared" si="8"/>
        <v>70</v>
      </c>
      <c r="Q20" s="879" t="s">
        <v>790</v>
      </c>
    </row>
    <row r="21" spans="1:17" s="3" customFormat="1" ht="15.75" customHeight="1">
      <c r="A21" s="883"/>
      <c r="B21" s="884"/>
      <c r="C21" s="884"/>
      <c r="D21" s="885"/>
      <c r="E21" s="886"/>
      <c r="F21" s="886"/>
      <c r="G21" s="886"/>
      <c r="H21" s="886"/>
      <c r="I21" s="886"/>
      <c r="J21" s="886"/>
      <c r="K21" s="886"/>
      <c r="L21" s="886"/>
      <c r="M21" s="886"/>
      <c r="N21" s="886"/>
      <c r="O21" s="886"/>
      <c r="P21" s="886"/>
      <c r="Q21" s="887"/>
    </row>
    <row r="22" spans="1:17" s="3" customFormat="1" ht="15.75" customHeight="1" thickBot="1">
      <c r="A22" s="1925" t="s">
        <v>320</v>
      </c>
      <c r="B22" s="1926"/>
      <c r="C22" s="126"/>
      <c r="D22" s="70"/>
      <c r="E22" s="129">
        <f t="shared" ref="E22:P22" si="9">SUM(E15:E20)</f>
        <v>3460</v>
      </c>
      <c r="F22" s="129">
        <f t="shared" si="9"/>
        <v>1620</v>
      </c>
      <c r="G22" s="129">
        <f t="shared" si="9"/>
        <v>1250</v>
      </c>
      <c r="H22" s="129">
        <f t="shared" si="9"/>
        <v>590</v>
      </c>
      <c r="I22" s="129">
        <f t="shared" si="9"/>
        <v>208.25</v>
      </c>
      <c r="J22" s="129">
        <f t="shared" si="9"/>
        <v>121.5</v>
      </c>
      <c r="K22" s="129">
        <f t="shared" si="9"/>
        <v>86.75</v>
      </c>
      <c r="L22" s="129">
        <f t="shared" si="9"/>
        <v>0</v>
      </c>
      <c r="M22" s="129">
        <f t="shared" si="9"/>
        <v>3251.75</v>
      </c>
      <c r="N22" s="129">
        <f t="shared" si="9"/>
        <v>1498.5</v>
      </c>
      <c r="O22" s="129">
        <f t="shared" si="9"/>
        <v>1163.25</v>
      </c>
      <c r="P22" s="129">
        <f t="shared" si="9"/>
        <v>590</v>
      </c>
      <c r="Q22" s="71"/>
    </row>
    <row r="23" spans="1:17" ht="14" thickTop="1">
      <c r="A23" s="124"/>
      <c r="B23" s="10"/>
      <c r="C23" s="10"/>
      <c r="D23" s="10"/>
      <c r="E23" s="1927" t="s">
        <v>883</v>
      </c>
      <c r="F23" s="1927"/>
      <c r="G23" s="1927"/>
      <c r="H23" s="1927"/>
      <c r="I23" s="1927"/>
      <c r="J23" s="1927"/>
      <c r="K23" s="1927"/>
      <c r="L23" s="1927"/>
      <c r="M23" s="1927"/>
      <c r="N23" s="1927"/>
      <c r="O23" s="1927"/>
      <c r="P23" s="1927"/>
      <c r="Q23" s="1927"/>
    </row>
    <row r="24" spans="1:17">
      <c r="A24" s="124"/>
      <c r="B24" s="15"/>
      <c r="C24" s="15"/>
      <c r="D24" s="10"/>
      <c r="F24" s="72"/>
      <c r="G24" s="72"/>
      <c r="H24" s="72"/>
      <c r="I24" s="72"/>
      <c r="J24" s="72"/>
      <c r="K24" s="72"/>
      <c r="L24" s="72"/>
      <c r="M24" s="72"/>
      <c r="N24" s="1846"/>
      <c r="O24" s="1846"/>
      <c r="P24" s="1846"/>
      <c r="Q24" s="1846"/>
    </row>
    <row r="25" spans="1:17" ht="27" customHeight="1">
      <c r="A25" s="1915" t="s">
        <v>236</v>
      </c>
      <c r="B25" s="1915"/>
      <c r="C25" s="1915"/>
      <c r="D25" s="1915"/>
      <c r="E25" s="1915"/>
      <c r="F25" s="1915"/>
      <c r="G25" s="1915"/>
      <c r="H25" s="1915"/>
      <c r="I25" s="1915"/>
      <c r="J25" s="1915"/>
      <c r="K25" s="1915"/>
      <c r="L25" s="1915"/>
      <c r="M25" s="1915"/>
      <c r="N25" s="23"/>
      <c r="O25" s="23"/>
      <c r="P25" s="23"/>
      <c r="Q25" s="23"/>
    </row>
    <row r="26" spans="1:17">
      <c r="A26" s="124"/>
      <c r="B26" s="16"/>
      <c r="C26" s="16"/>
      <c r="D26" s="10"/>
      <c r="E26" s="1846"/>
      <c r="F26" s="1846"/>
      <c r="G26" s="1846"/>
      <c r="H26" s="1846"/>
      <c r="I26" s="1846"/>
      <c r="J26" s="1846"/>
      <c r="K26" s="1846"/>
      <c r="L26" s="1846"/>
      <c r="M26" s="1846"/>
      <c r="N26" s="1846"/>
      <c r="O26" s="1846"/>
      <c r="P26" s="1846"/>
      <c r="Q26" s="1846"/>
    </row>
    <row r="27" spans="1:17">
      <c r="A27" s="124"/>
      <c r="B27" s="10"/>
      <c r="C27" s="10"/>
      <c r="D27" s="10"/>
      <c r="E27" s="1910"/>
      <c r="F27" s="1910"/>
      <c r="G27" s="1910"/>
      <c r="H27" s="1910"/>
      <c r="I27" s="1910"/>
      <c r="J27" s="1910"/>
      <c r="K27" s="1910"/>
      <c r="L27" s="1910"/>
      <c r="M27" s="1910"/>
      <c r="N27" s="1910"/>
      <c r="O27" s="1910"/>
      <c r="P27" s="1910"/>
      <c r="Q27" s="1910"/>
    </row>
    <row r="29" spans="1:17">
      <c r="P29" s="601" t="s">
        <v>843</v>
      </c>
    </row>
  </sheetData>
  <mergeCells count="19">
    <mergeCell ref="H4:Q4"/>
    <mergeCell ref="A1:B1"/>
    <mergeCell ref="E1:P1"/>
    <mergeCell ref="A2:B2"/>
    <mergeCell ref="E2:P2"/>
    <mergeCell ref="A3:Q3"/>
    <mergeCell ref="E27:Q27"/>
    <mergeCell ref="Q5:Q6"/>
    <mergeCell ref="A22:B22"/>
    <mergeCell ref="E23:Q23"/>
    <mergeCell ref="N24:Q24"/>
    <mergeCell ref="A25:M25"/>
    <mergeCell ref="E26:Q26"/>
    <mergeCell ref="A5:A6"/>
    <mergeCell ref="B5:B6"/>
    <mergeCell ref="D5:D6"/>
    <mergeCell ref="E5:H5"/>
    <mergeCell ref="I5:L5"/>
    <mergeCell ref="M5:P5"/>
  </mergeCells>
  <pageMargins left="0.34" right="0.34" top="1.01" bottom="0.34" header="0.45" footer="0.21"/>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0"/>
  <sheetViews>
    <sheetView view="pageBreakPreview" zoomScaleNormal="115" zoomScaleSheetLayoutView="100" zoomScalePageLayoutView="115" workbookViewId="0">
      <pane xSplit="2" ySplit="7" topLeftCell="C10" activePane="bottomRight" state="frozen"/>
      <selection pane="topRight" activeCell="C1" sqref="C1"/>
      <selection pane="bottomLeft" activeCell="A8" sqref="A8"/>
      <selection pane="bottomRight" activeCell="E30" sqref="E30"/>
    </sheetView>
  </sheetViews>
  <sheetFormatPr baseColWidth="10" defaultColWidth="8.83203125" defaultRowHeight="13"/>
  <cols>
    <col min="1" max="1" width="5.5" style="1" customWidth="1"/>
    <col min="2" max="2" width="29" style="2" customWidth="1"/>
    <col min="3" max="3" width="6.33203125" style="2" customWidth="1"/>
    <col min="4" max="4" width="8" style="2" customWidth="1"/>
    <col min="5" max="6" width="5.6640625" customWidth="1"/>
    <col min="7" max="7" width="6.5" customWidth="1"/>
    <col min="8" max="8" width="6.6640625" customWidth="1"/>
    <col min="9" max="10" width="5.6640625" customWidth="1"/>
    <col min="11" max="11" width="6.1640625" customWidth="1"/>
    <col min="12" max="12" width="7.5" customWidth="1"/>
    <col min="13" max="14" width="5.6640625" customWidth="1"/>
    <col min="15" max="15" width="6.5" customWidth="1"/>
    <col min="16" max="16" width="7.1640625" customWidth="1"/>
    <col min="17" max="17" width="18.6640625" customWidth="1"/>
  </cols>
  <sheetData>
    <row r="1" spans="1:17" ht="14.25" customHeight="1">
      <c r="A1" s="1923" t="s">
        <v>3</v>
      </c>
      <c r="B1" s="1923"/>
      <c r="C1" s="125"/>
      <c r="D1" s="10"/>
      <c r="E1" s="1924"/>
      <c r="F1" s="1924"/>
      <c r="G1" s="1924"/>
      <c r="H1" s="1924"/>
      <c r="I1" s="1924"/>
      <c r="J1" s="1924"/>
      <c r="K1" s="1924"/>
      <c r="L1" s="1924"/>
      <c r="M1" s="1924"/>
      <c r="N1" s="1924"/>
      <c r="O1" s="1924"/>
      <c r="P1" s="1924"/>
      <c r="Q1" s="122" t="s">
        <v>1577</v>
      </c>
    </row>
    <row r="2" spans="1:17" ht="16.5" customHeight="1">
      <c r="A2" s="1846" t="s">
        <v>294</v>
      </c>
      <c r="B2" s="1846"/>
      <c r="C2" s="123"/>
      <c r="D2" s="10"/>
      <c r="E2" s="1904"/>
      <c r="F2" s="1904"/>
      <c r="G2" s="1904"/>
      <c r="H2" s="1904"/>
      <c r="I2" s="1904"/>
      <c r="J2" s="1904"/>
      <c r="K2" s="1904"/>
      <c r="L2" s="1904"/>
      <c r="M2" s="1904"/>
      <c r="N2" s="1904"/>
      <c r="O2" s="1904"/>
      <c r="P2" s="1904"/>
      <c r="Q2" s="11"/>
    </row>
    <row r="3" spans="1:17" ht="21.75" customHeight="1">
      <c r="A3" s="1844" t="s">
        <v>934</v>
      </c>
      <c r="B3" s="1844"/>
      <c r="C3" s="1844"/>
      <c r="D3" s="1844"/>
      <c r="E3" s="1844"/>
      <c r="F3" s="1844"/>
      <c r="G3" s="1844"/>
      <c r="H3" s="1844"/>
      <c r="I3" s="1844"/>
      <c r="J3" s="1844"/>
      <c r="K3" s="1844"/>
      <c r="L3" s="1844"/>
      <c r="M3" s="1844"/>
      <c r="N3" s="1844"/>
      <c r="O3" s="1844"/>
      <c r="P3" s="1844"/>
      <c r="Q3" s="1844"/>
    </row>
    <row r="4" spans="1:17" ht="14" thickBot="1">
      <c r="A4" s="42"/>
      <c r="B4" s="42"/>
      <c r="C4" s="42"/>
      <c r="D4" s="42"/>
      <c r="E4" s="42"/>
      <c r="F4" s="42"/>
      <c r="G4" s="42"/>
      <c r="H4" s="1922" t="s">
        <v>73</v>
      </c>
      <c r="I4" s="1922"/>
      <c r="J4" s="1922"/>
      <c r="K4" s="1922"/>
      <c r="L4" s="1922"/>
      <c r="M4" s="1922"/>
      <c r="N4" s="1922"/>
      <c r="O4" s="1922"/>
      <c r="P4" s="1922"/>
      <c r="Q4" s="1922"/>
    </row>
    <row r="5" spans="1:17" ht="27.75" customHeight="1" thickTop="1">
      <c r="A5" s="1916" t="s">
        <v>0</v>
      </c>
      <c r="B5" s="1918" t="s">
        <v>8</v>
      </c>
      <c r="C5" s="1106"/>
      <c r="D5" s="1918" t="s">
        <v>9</v>
      </c>
      <c r="E5" s="1920" t="s">
        <v>14</v>
      </c>
      <c r="F5" s="1920"/>
      <c r="G5" s="1920"/>
      <c r="H5" s="1920"/>
      <c r="I5" s="1920" t="s">
        <v>210</v>
      </c>
      <c r="J5" s="1920"/>
      <c r="K5" s="1920"/>
      <c r="L5" s="1920"/>
      <c r="M5" s="1920" t="s">
        <v>15</v>
      </c>
      <c r="N5" s="1920"/>
      <c r="O5" s="1920"/>
      <c r="P5" s="1920"/>
      <c r="Q5" s="1911" t="s">
        <v>2</v>
      </c>
    </row>
    <row r="6" spans="1:17" ht="51" customHeight="1">
      <c r="A6" s="1917"/>
      <c r="B6" s="1919"/>
      <c r="C6" s="1268" t="s">
        <v>293</v>
      </c>
      <c r="D6" s="1919"/>
      <c r="E6" s="1268" t="s">
        <v>13</v>
      </c>
      <c r="F6" s="1268" t="s">
        <v>10</v>
      </c>
      <c r="G6" s="1268" t="s">
        <v>11</v>
      </c>
      <c r="H6" s="1268" t="s">
        <v>12</v>
      </c>
      <c r="I6" s="1268" t="s">
        <v>13</v>
      </c>
      <c r="J6" s="1268" t="s">
        <v>10</v>
      </c>
      <c r="K6" s="1268" t="s">
        <v>11</v>
      </c>
      <c r="L6" s="1268" t="s">
        <v>12</v>
      </c>
      <c r="M6" s="1268" t="s">
        <v>13</v>
      </c>
      <c r="N6" s="1268" t="s">
        <v>10</v>
      </c>
      <c r="O6" s="1268" t="s">
        <v>11</v>
      </c>
      <c r="P6" s="1268" t="s">
        <v>12</v>
      </c>
      <c r="Q6" s="1912"/>
    </row>
    <row r="7" spans="1:17" ht="24">
      <c r="A7" s="1133" t="s">
        <v>113</v>
      </c>
      <c r="B7" s="1134" t="s">
        <v>114</v>
      </c>
      <c r="C7" s="1134"/>
      <c r="D7" s="1135" t="s">
        <v>115</v>
      </c>
      <c r="E7" s="1135" t="s">
        <v>116</v>
      </c>
      <c r="F7" s="1135" t="s">
        <v>117</v>
      </c>
      <c r="G7" s="1135" t="s">
        <v>118</v>
      </c>
      <c r="H7" s="1135" t="s">
        <v>119</v>
      </c>
      <c r="I7" s="1135" t="s">
        <v>120</v>
      </c>
      <c r="J7" s="1135" t="s">
        <v>121</v>
      </c>
      <c r="K7" s="1135" t="s">
        <v>123</v>
      </c>
      <c r="L7" s="1269" t="s">
        <v>86</v>
      </c>
      <c r="M7" s="1135" t="s">
        <v>124</v>
      </c>
      <c r="N7" s="1135" t="s">
        <v>125</v>
      </c>
      <c r="O7" s="1135" t="s">
        <v>126</v>
      </c>
      <c r="P7" s="1135" t="s">
        <v>127</v>
      </c>
      <c r="Q7" s="1137" t="s">
        <v>128</v>
      </c>
    </row>
    <row r="8" spans="1:17" s="17" customFormat="1" ht="28.5" customHeight="1">
      <c r="A8" s="1270"/>
      <c r="B8" s="1272" t="s">
        <v>528</v>
      </c>
      <c r="C8" s="1272"/>
      <c r="D8" s="1273"/>
      <c r="E8" s="1273"/>
      <c r="F8" s="1273"/>
      <c r="G8" s="1273"/>
      <c r="H8" s="1273"/>
      <c r="I8" s="1273"/>
      <c r="J8" s="1273"/>
      <c r="K8" s="1273"/>
      <c r="L8" s="1273"/>
      <c r="M8" s="1273"/>
      <c r="N8" s="1273"/>
      <c r="O8" s="1273"/>
      <c r="P8" s="1273"/>
      <c r="Q8" s="1274"/>
    </row>
    <row r="9" spans="1:17" s="18" customFormat="1" ht="28.5" customHeight="1">
      <c r="A9" s="63"/>
      <c r="B9" s="1276" t="s">
        <v>1445</v>
      </c>
      <c r="C9" s="1276"/>
      <c r="D9" s="1277"/>
      <c r="E9" s="1277"/>
      <c r="F9" s="1277"/>
      <c r="G9" s="1277"/>
      <c r="H9" s="1277"/>
      <c r="I9" s="1277"/>
      <c r="J9" s="1277"/>
      <c r="K9" s="1277"/>
      <c r="L9" s="1277"/>
      <c r="M9" s="1277"/>
      <c r="N9" s="1277"/>
      <c r="O9" s="1277"/>
      <c r="P9" s="1277"/>
      <c r="Q9" s="64"/>
    </row>
    <row r="10" spans="1:17" s="18" customFormat="1" ht="28.5" customHeight="1">
      <c r="A10" s="63"/>
      <c r="B10" s="1276" t="s">
        <v>784</v>
      </c>
      <c r="C10" s="1276"/>
      <c r="D10" s="1277"/>
      <c r="E10" s="1277"/>
      <c r="F10" s="1277"/>
      <c r="G10" s="1277"/>
      <c r="H10" s="1277"/>
      <c r="I10" s="1277"/>
      <c r="J10" s="1277"/>
      <c r="K10" s="1277"/>
      <c r="L10" s="1277"/>
      <c r="M10" s="1277"/>
      <c r="N10" s="1277"/>
      <c r="O10" s="1277"/>
      <c r="P10" s="1277"/>
      <c r="Q10" s="64"/>
    </row>
    <row r="11" spans="1:17" s="18" customFormat="1" ht="28.5" customHeight="1">
      <c r="A11" s="63"/>
      <c r="B11" s="1276" t="s">
        <v>295</v>
      </c>
      <c r="C11" s="1276"/>
      <c r="D11" s="1277"/>
      <c r="E11" s="1277"/>
      <c r="F11" s="1277"/>
      <c r="G11" s="1277"/>
      <c r="H11" s="1277"/>
      <c r="I11" s="1277"/>
      <c r="J11" s="1277"/>
      <c r="K11" s="1277"/>
      <c r="L11" s="1277"/>
      <c r="M11" s="1277"/>
      <c r="N11" s="1277"/>
      <c r="O11" s="1277"/>
      <c r="P11" s="1277"/>
      <c r="Q11" s="64"/>
    </row>
    <row r="12" spans="1:17" s="18" customFormat="1" ht="28.5" customHeight="1">
      <c r="A12" s="63"/>
      <c r="B12" s="1276" t="s">
        <v>1446</v>
      </c>
      <c r="C12" s="1276"/>
      <c r="D12" s="1277"/>
      <c r="E12" s="1277"/>
      <c r="F12" s="1277"/>
      <c r="G12" s="1277"/>
      <c r="H12" s="1277"/>
      <c r="I12" s="1277"/>
      <c r="J12" s="1277"/>
      <c r="K12" s="1277"/>
      <c r="L12" s="1277"/>
      <c r="M12" s="1277"/>
      <c r="N12" s="1277"/>
      <c r="O12" s="1277"/>
      <c r="P12" s="1277"/>
      <c r="Q12" s="64"/>
    </row>
    <row r="13" spans="1:17" s="18" customFormat="1" ht="28.5" customHeight="1">
      <c r="A13" s="63"/>
      <c r="B13" s="1276" t="s">
        <v>296</v>
      </c>
      <c r="C13" s="1276"/>
      <c r="D13" s="1277"/>
      <c r="E13" s="1277"/>
      <c r="F13" s="1277"/>
      <c r="G13" s="1277"/>
      <c r="H13" s="1277"/>
      <c r="I13" s="1277"/>
      <c r="J13" s="1277"/>
      <c r="K13" s="1277"/>
      <c r="L13" s="1277"/>
      <c r="M13" s="1277"/>
      <c r="N13" s="1277"/>
      <c r="O13" s="1277"/>
      <c r="P13" s="1277"/>
      <c r="Q13" s="64"/>
    </row>
    <row r="14" spans="1:17" s="3" customFormat="1" ht="15.75" customHeight="1">
      <c r="A14" s="1286"/>
      <c r="B14" s="1287"/>
      <c r="C14" s="1287"/>
      <c r="D14" s="1288"/>
      <c r="E14" s="1289"/>
      <c r="F14" s="1289"/>
      <c r="G14" s="1289"/>
      <c r="H14" s="1289"/>
      <c r="I14" s="1289"/>
      <c r="J14" s="1289"/>
      <c r="K14" s="1289"/>
      <c r="L14" s="1289"/>
      <c r="M14" s="1289"/>
      <c r="N14" s="1289"/>
      <c r="O14" s="1289"/>
      <c r="P14" s="1289"/>
      <c r="Q14" s="1290"/>
    </row>
    <row r="15" spans="1:17" s="3" customFormat="1" ht="27.75" customHeight="1">
      <c r="A15" s="1286">
        <v>1</v>
      </c>
      <c r="B15" s="1291" t="s">
        <v>321</v>
      </c>
      <c r="C15" s="1292">
        <v>6.2</v>
      </c>
      <c r="D15" s="895" t="s">
        <v>311</v>
      </c>
      <c r="E15" s="1293">
        <f>F15+G15+H15</f>
        <v>705</v>
      </c>
      <c r="F15" s="1293">
        <v>270</v>
      </c>
      <c r="G15" s="1293">
        <f t="shared" ref="G15:G21" si="0">IF(C15&lt;3.33,165,IF(C15&lt;4.32,175,IF(C15&lt;4.4,200,IF(C15&lt;5.76,220,IF(C15&lt;6.2,260,315)))))</f>
        <v>315</v>
      </c>
      <c r="H15" s="1293">
        <f t="shared" ref="H15:H21" si="1">IF(C15&lt;3.33,70,IF(C15&lt;4.32,90,IF(C15&lt;4.4,100,120)))</f>
        <v>120</v>
      </c>
      <c r="I15" s="1293">
        <f>J15+K15+L15</f>
        <v>117</v>
      </c>
      <c r="J15" s="1293">
        <f>IF(D15="TK",F15*0.3,IF(D15="PK",F15*0.25,IF(OR(D15="TBM",D15="BTLCD"),F15*0.2,IF(OR(D15="PCTCD",D15="CTCD"),F15*0.1,IF(OR(D15="TLĐT",D15="CVHT"),F15*0.15,IF(D15="NCS",F15*0.7,0))))))</f>
        <v>54</v>
      </c>
      <c r="K15" s="1293">
        <f>IF(D15="TK",G15*0.3,IF(D15="PK",G15*0.25,IF(OR(D15="TBM",D15="BTLCD"),G15*0.2,IF(OR(D15="PCTCD",D15="CTCD"),F15*0.1,IF(OR(D15="TLĐT",D15="NCS,TLĐT",D15="NCS,CVHT",D15="CVHT"),G15*0.15,0)))))</f>
        <v>63</v>
      </c>
      <c r="L15" s="1293">
        <f>IF(OR(D15="NCS",D15="NCS,TLĐT"),H15*0.7,0)</f>
        <v>0</v>
      </c>
      <c r="M15" s="1293">
        <f>N15+O15+P15</f>
        <v>588</v>
      </c>
      <c r="N15" s="1293">
        <f t="shared" ref="N15:P16" si="2">F15-J15</f>
        <v>216</v>
      </c>
      <c r="O15" s="1293">
        <f t="shared" si="2"/>
        <v>252</v>
      </c>
      <c r="P15" s="1293">
        <f t="shared" si="2"/>
        <v>120</v>
      </c>
      <c r="Q15" s="1294" t="s">
        <v>544</v>
      </c>
    </row>
    <row r="16" spans="1:17" s="3" customFormat="1" ht="27.75" customHeight="1">
      <c r="A16" s="896">
        <v>2</v>
      </c>
      <c r="B16" s="1295" t="s">
        <v>782</v>
      </c>
      <c r="C16" s="1296">
        <v>3.99</v>
      </c>
      <c r="D16" s="897" t="s">
        <v>783</v>
      </c>
      <c r="E16" s="1297">
        <f>F16+G16+H16</f>
        <v>535</v>
      </c>
      <c r="F16" s="1297">
        <v>270</v>
      </c>
      <c r="G16" s="1297">
        <v>175</v>
      </c>
      <c r="H16" s="1297">
        <f t="shared" si="1"/>
        <v>90</v>
      </c>
      <c r="I16" s="1297">
        <f>J16+K16+L16</f>
        <v>133.5</v>
      </c>
      <c r="J16" s="1297">
        <f t="shared" ref="J16:J23" si="3">IF(D16="TK",F16*0.3,IF(D16="PK",F16*0.25,IF(OR(D16="TBM",D16="BTLCD"),F16*0.2,IF(OR(D16="PCTCD",D16="CTCD"),F16*0.1,IF(OR(D16="TLĐT",D16="CVHT"),F16*0.15,IF(D16="NCS",F16*0.7,0))))))</f>
        <v>81</v>
      </c>
      <c r="K16" s="1297">
        <f t="shared" ref="K16:K23" si="4">IF(D16="TK",G16*0.3,IF(D16="PK",G16*0.25,IF(OR(D16="TBM",D16="BTLCD"),G16*0.2,IF(OR(D16="PCTCD",D16="CTCD"),F16*0.1,IF(OR(D16="TLĐT",D16="NCS,TLĐT",D16="NCS,CVHT",D16="CVHT"),G16*0.15,0)))))</f>
        <v>52.5</v>
      </c>
      <c r="L16" s="1297">
        <f>IF(OR(D16="NCS",D16="NCS,TLĐT"),H16*0.7,0)</f>
        <v>0</v>
      </c>
      <c r="M16" s="1297">
        <f>N16+O16+P16</f>
        <v>401.5</v>
      </c>
      <c r="N16" s="1297">
        <f t="shared" si="2"/>
        <v>189</v>
      </c>
      <c r="O16" s="1297">
        <f t="shared" si="2"/>
        <v>122.5</v>
      </c>
      <c r="P16" s="1297">
        <f t="shared" si="2"/>
        <v>90</v>
      </c>
      <c r="Q16" s="1298" t="s">
        <v>786</v>
      </c>
    </row>
    <row r="17" spans="1:18" s="3" customFormat="1" ht="24.75" customHeight="1">
      <c r="A17" s="896">
        <v>3</v>
      </c>
      <c r="B17" s="1299" t="s">
        <v>322</v>
      </c>
      <c r="C17" s="1296">
        <v>4.4000000000000004</v>
      </c>
      <c r="D17" s="897" t="s">
        <v>785</v>
      </c>
      <c r="E17" s="1297">
        <f t="shared" ref="E17:E23" si="5">F17+G17+H17</f>
        <v>610</v>
      </c>
      <c r="F17" s="1297">
        <v>270</v>
      </c>
      <c r="G17" s="1297">
        <f t="shared" si="0"/>
        <v>220</v>
      </c>
      <c r="H17" s="1297">
        <f t="shared" si="1"/>
        <v>120</v>
      </c>
      <c r="I17" s="1297">
        <f t="shared" ref="I17:I23" si="6">J17+K17+L17</f>
        <v>54</v>
      </c>
      <c r="J17" s="1297">
        <f t="shared" si="3"/>
        <v>27</v>
      </c>
      <c r="K17" s="1297">
        <f t="shared" si="4"/>
        <v>27</v>
      </c>
      <c r="L17" s="1297">
        <f>IF(OR(D17="NCS",D17="NCS,TLĐT"),H17*0.7,0)</f>
        <v>0</v>
      </c>
      <c r="M17" s="1297">
        <f t="shared" ref="M17:M23" si="7">N17+O17+P17</f>
        <v>556</v>
      </c>
      <c r="N17" s="1297">
        <f t="shared" ref="N17:N24" si="8">F17-J17</f>
        <v>243</v>
      </c>
      <c r="O17" s="1297">
        <f t="shared" ref="O17:P23" si="9">G17-K17</f>
        <v>193</v>
      </c>
      <c r="P17" s="1297">
        <f t="shared" si="9"/>
        <v>120</v>
      </c>
      <c r="Q17" s="1300" t="s">
        <v>787</v>
      </c>
    </row>
    <row r="18" spans="1:18" s="3" customFormat="1" ht="27" customHeight="1">
      <c r="A18" s="896">
        <v>4</v>
      </c>
      <c r="B18" s="1295" t="s">
        <v>323</v>
      </c>
      <c r="C18" s="1296">
        <v>3.33</v>
      </c>
      <c r="D18" s="897" t="s">
        <v>312</v>
      </c>
      <c r="E18" s="1297">
        <f t="shared" si="5"/>
        <v>535</v>
      </c>
      <c r="F18" s="1297">
        <v>270</v>
      </c>
      <c r="G18" s="1297">
        <f t="shared" si="0"/>
        <v>175</v>
      </c>
      <c r="H18" s="1297">
        <f t="shared" si="1"/>
        <v>90</v>
      </c>
      <c r="I18" s="1297">
        <f t="shared" si="6"/>
        <v>66.75</v>
      </c>
      <c r="J18" s="1297">
        <f t="shared" si="3"/>
        <v>40.5</v>
      </c>
      <c r="K18" s="1297">
        <f t="shared" si="4"/>
        <v>26.25</v>
      </c>
      <c r="L18" s="1297">
        <f t="shared" ref="L18:L23" si="10">IF(OR(D18="NCS",D18="NCS,TLĐT",D18="NCS,CVHT"),H18*0.7,0)</f>
        <v>0</v>
      </c>
      <c r="M18" s="1297">
        <f t="shared" si="7"/>
        <v>468.25</v>
      </c>
      <c r="N18" s="1297">
        <f t="shared" si="8"/>
        <v>229.5</v>
      </c>
      <c r="O18" s="1297">
        <f t="shared" si="9"/>
        <v>148.75</v>
      </c>
      <c r="P18" s="1297">
        <f t="shared" si="9"/>
        <v>90</v>
      </c>
      <c r="Q18" s="1301" t="s">
        <v>788</v>
      </c>
    </row>
    <row r="19" spans="1:18" s="3" customFormat="1" ht="27" customHeight="1">
      <c r="A19" s="896">
        <v>5</v>
      </c>
      <c r="B19" s="1302" t="s">
        <v>324</v>
      </c>
      <c r="C19" s="1303">
        <v>3</v>
      </c>
      <c r="D19" s="897" t="s">
        <v>329</v>
      </c>
      <c r="E19" s="1297">
        <f t="shared" si="5"/>
        <v>505</v>
      </c>
      <c r="F19" s="1297">
        <v>270</v>
      </c>
      <c r="G19" s="1297">
        <f t="shared" si="0"/>
        <v>165</v>
      </c>
      <c r="H19" s="1297">
        <f t="shared" si="1"/>
        <v>70</v>
      </c>
      <c r="I19" s="1297">
        <f t="shared" si="6"/>
        <v>65.25</v>
      </c>
      <c r="J19" s="1297">
        <f t="shared" si="3"/>
        <v>40.5</v>
      </c>
      <c r="K19" s="1297">
        <f t="shared" si="4"/>
        <v>24.75</v>
      </c>
      <c r="L19" s="1297">
        <f t="shared" si="10"/>
        <v>0</v>
      </c>
      <c r="M19" s="1297">
        <f t="shared" si="7"/>
        <v>439.75</v>
      </c>
      <c r="N19" s="1297">
        <f t="shared" si="8"/>
        <v>229.5</v>
      </c>
      <c r="O19" s="1297">
        <f t="shared" si="9"/>
        <v>140.25</v>
      </c>
      <c r="P19" s="1297">
        <f t="shared" si="9"/>
        <v>70</v>
      </c>
      <c r="Q19" s="1301" t="s">
        <v>527</v>
      </c>
    </row>
    <row r="20" spans="1:18" s="3" customFormat="1" ht="27" customHeight="1">
      <c r="A20" s="896">
        <v>6</v>
      </c>
      <c r="B20" s="1302" t="s">
        <v>325</v>
      </c>
      <c r="C20" s="1303">
        <v>3</v>
      </c>
      <c r="D20" s="897" t="s">
        <v>329</v>
      </c>
      <c r="E20" s="1297">
        <f t="shared" si="5"/>
        <v>505</v>
      </c>
      <c r="F20" s="1297">
        <v>270</v>
      </c>
      <c r="G20" s="1297">
        <f t="shared" si="0"/>
        <v>165</v>
      </c>
      <c r="H20" s="1297">
        <f t="shared" si="1"/>
        <v>70</v>
      </c>
      <c r="I20" s="1297">
        <f t="shared" si="6"/>
        <v>65.25</v>
      </c>
      <c r="J20" s="1297">
        <f t="shared" si="3"/>
        <v>40.5</v>
      </c>
      <c r="K20" s="1297">
        <f t="shared" si="4"/>
        <v>24.75</v>
      </c>
      <c r="L20" s="1297">
        <f t="shared" si="10"/>
        <v>0</v>
      </c>
      <c r="M20" s="1297">
        <f t="shared" si="7"/>
        <v>439.75</v>
      </c>
      <c r="N20" s="1297">
        <f t="shared" si="8"/>
        <v>229.5</v>
      </c>
      <c r="O20" s="1297">
        <f t="shared" si="9"/>
        <v>140.25</v>
      </c>
      <c r="P20" s="1297">
        <f t="shared" si="9"/>
        <v>70</v>
      </c>
      <c r="Q20" s="1304" t="s">
        <v>527</v>
      </c>
    </row>
    <row r="21" spans="1:18" s="3" customFormat="1" ht="27" customHeight="1">
      <c r="A21" s="896">
        <v>7</v>
      </c>
      <c r="B21" s="1295" t="s">
        <v>326</v>
      </c>
      <c r="C21" s="1296">
        <v>6.78</v>
      </c>
      <c r="D21" s="897"/>
      <c r="E21" s="1297">
        <f t="shared" si="5"/>
        <v>705</v>
      </c>
      <c r="F21" s="1297">
        <v>270</v>
      </c>
      <c r="G21" s="1297">
        <f t="shared" si="0"/>
        <v>315</v>
      </c>
      <c r="H21" s="1297">
        <f t="shared" si="1"/>
        <v>120</v>
      </c>
      <c r="I21" s="1297">
        <f t="shared" si="6"/>
        <v>0</v>
      </c>
      <c r="J21" s="1297">
        <f t="shared" si="3"/>
        <v>0</v>
      </c>
      <c r="K21" s="1297">
        <f t="shared" si="4"/>
        <v>0</v>
      </c>
      <c r="L21" s="1297">
        <f t="shared" si="10"/>
        <v>0</v>
      </c>
      <c r="M21" s="1297">
        <f t="shared" si="7"/>
        <v>705</v>
      </c>
      <c r="N21" s="1297">
        <f t="shared" si="8"/>
        <v>270</v>
      </c>
      <c r="O21" s="1297">
        <f t="shared" si="9"/>
        <v>315</v>
      </c>
      <c r="P21" s="1297">
        <f t="shared" si="9"/>
        <v>120</v>
      </c>
      <c r="Q21" s="1305"/>
    </row>
    <row r="22" spans="1:18" s="3" customFormat="1" ht="27" customHeight="1">
      <c r="A22" s="896">
        <v>8</v>
      </c>
      <c r="B22" s="1295" t="s">
        <v>327</v>
      </c>
      <c r="C22" s="1296">
        <v>3.99</v>
      </c>
      <c r="D22" s="897"/>
      <c r="E22" s="1297">
        <f t="shared" si="5"/>
        <v>0</v>
      </c>
      <c r="F22" s="1297">
        <v>0</v>
      </c>
      <c r="G22" s="1297">
        <v>0</v>
      </c>
      <c r="H22" s="1297">
        <v>0</v>
      </c>
      <c r="I22" s="1297">
        <f t="shared" si="6"/>
        <v>0</v>
      </c>
      <c r="J22" s="1297">
        <f t="shared" si="3"/>
        <v>0</v>
      </c>
      <c r="K22" s="1297">
        <f t="shared" si="4"/>
        <v>0</v>
      </c>
      <c r="L22" s="1297">
        <f t="shared" si="10"/>
        <v>0</v>
      </c>
      <c r="M22" s="1297">
        <f t="shared" si="7"/>
        <v>0</v>
      </c>
      <c r="N22" s="1297">
        <f t="shared" si="8"/>
        <v>0</v>
      </c>
      <c r="O22" s="1297">
        <f t="shared" si="9"/>
        <v>0</v>
      </c>
      <c r="P22" s="1297">
        <f t="shared" si="9"/>
        <v>0</v>
      </c>
      <c r="Q22" s="1306" t="s">
        <v>566</v>
      </c>
    </row>
    <row r="23" spans="1:18" s="3" customFormat="1" ht="27" customHeight="1">
      <c r="A23" s="896">
        <v>9</v>
      </c>
      <c r="B23" s="1307" t="s">
        <v>328</v>
      </c>
      <c r="C23" s="1308">
        <v>3.99</v>
      </c>
      <c r="D23" s="897"/>
      <c r="E23" s="1297">
        <f t="shared" si="5"/>
        <v>0</v>
      </c>
      <c r="F23" s="1297">
        <v>0</v>
      </c>
      <c r="G23" s="1297">
        <v>0</v>
      </c>
      <c r="H23" s="1297">
        <v>0</v>
      </c>
      <c r="I23" s="1297">
        <f t="shared" si="6"/>
        <v>0</v>
      </c>
      <c r="J23" s="1297">
        <f t="shared" si="3"/>
        <v>0</v>
      </c>
      <c r="K23" s="1297">
        <f t="shared" si="4"/>
        <v>0</v>
      </c>
      <c r="L23" s="1297">
        <f t="shared" si="10"/>
        <v>0</v>
      </c>
      <c r="M23" s="1297">
        <f t="shared" si="7"/>
        <v>0</v>
      </c>
      <c r="N23" s="1297">
        <f t="shared" si="8"/>
        <v>0</v>
      </c>
      <c r="O23" s="1297">
        <f t="shared" si="9"/>
        <v>0</v>
      </c>
      <c r="P23" s="1297">
        <f t="shared" si="9"/>
        <v>0</v>
      </c>
      <c r="Q23" s="1305" t="s">
        <v>567</v>
      </c>
    </row>
    <row r="24" spans="1:18" s="3" customFormat="1" ht="15.75" customHeight="1">
      <c r="A24" s="1309"/>
      <c r="B24" s="898"/>
      <c r="C24" s="898"/>
      <c r="D24" s="899"/>
      <c r="E24" s="900"/>
      <c r="F24" s="900"/>
      <c r="G24" s="900"/>
      <c r="H24" s="900"/>
      <c r="I24" s="900"/>
      <c r="J24" s="900"/>
      <c r="K24" s="900"/>
      <c r="L24" s="900"/>
      <c r="M24" s="900"/>
      <c r="N24" s="901">
        <f t="shared" si="8"/>
        <v>0</v>
      </c>
      <c r="O24" s="900"/>
      <c r="P24" s="900"/>
      <c r="Q24" s="902"/>
    </row>
    <row r="25" spans="1:18" s="3" customFormat="1" ht="15.75" customHeight="1" thickBot="1">
      <c r="A25" s="1929" t="s">
        <v>320</v>
      </c>
      <c r="B25" s="1930"/>
      <c r="C25" s="1281"/>
      <c r="D25" s="1282"/>
      <c r="E25" s="1283">
        <f>SUM(E15:E23)</f>
        <v>4100</v>
      </c>
      <c r="F25" s="1283">
        <f t="shared" ref="F25:P25" si="11">SUM(F15:F23)</f>
        <v>1890</v>
      </c>
      <c r="G25" s="1283">
        <f t="shared" si="11"/>
        <v>1530</v>
      </c>
      <c r="H25" s="1283">
        <f t="shared" si="11"/>
        <v>680</v>
      </c>
      <c r="I25" s="1283">
        <f t="shared" si="11"/>
        <v>501.75</v>
      </c>
      <c r="J25" s="1283">
        <f t="shared" si="11"/>
        <v>283.5</v>
      </c>
      <c r="K25" s="1283">
        <f t="shared" si="11"/>
        <v>218.25</v>
      </c>
      <c r="L25" s="1283">
        <f t="shared" si="11"/>
        <v>0</v>
      </c>
      <c r="M25" s="1283">
        <f t="shared" si="11"/>
        <v>3598.25</v>
      </c>
      <c r="N25" s="1283">
        <f t="shared" si="11"/>
        <v>1606.5</v>
      </c>
      <c r="O25" s="1283">
        <f t="shared" si="11"/>
        <v>1311.75</v>
      </c>
      <c r="P25" s="1283">
        <f t="shared" si="11"/>
        <v>680</v>
      </c>
      <c r="Q25" s="1285"/>
    </row>
    <row r="26" spans="1:18" ht="14" thickTop="1">
      <c r="A26" s="124"/>
      <c r="B26" s="10"/>
      <c r="C26" s="10"/>
      <c r="D26" s="10"/>
      <c r="J26" s="903"/>
      <c r="K26" s="903"/>
      <c r="L26" s="903"/>
      <c r="M26" s="903"/>
      <c r="N26" s="903"/>
      <c r="O26" s="903"/>
      <c r="P26" s="903"/>
      <c r="Q26" s="903"/>
    </row>
    <row r="27" spans="1:18">
      <c r="A27" s="124"/>
      <c r="B27" s="15"/>
      <c r="C27" s="15"/>
      <c r="D27" s="10"/>
      <c r="F27" s="72"/>
      <c r="G27" s="72"/>
      <c r="H27" s="72"/>
      <c r="I27" s="72"/>
      <c r="J27" s="72"/>
      <c r="K27" s="72"/>
      <c r="L27" s="72"/>
      <c r="M27" s="72"/>
      <c r="N27" s="1847" t="s">
        <v>883</v>
      </c>
      <c r="O27" s="1847"/>
      <c r="P27" s="1847"/>
      <c r="Q27" s="1847"/>
      <c r="R27" s="1847"/>
    </row>
    <row r="28" spans="1:18" ht="27" customHeight="1">
      <c r="A28" s="1915" t="s">
        <v>236</v>
      </c>
      <c r="B28" s="1915"/>
      <c r="C28" s="1915"/>
      <c r="D28" s="1915"/>
      <c r="E28" s="1915"/>
      <c r="F28" s="1915"/>
      <c r="G28" s="1915"/>
      <c r="H28" s="1915"/>
      <c r="I28" s="1915"/>
      <c r="J28" s="1915"/>
      <c r="K28" s="1915"/>
      <c r="L28" s="1915"/>
      <c r="M28" s="1915"/>
      <c r="N28" s="23"/>
      <c r="O28" s="23"/>
      <c r="P28" s="23"/>
      <c r="Q28" s="23"/>
    </row>
    <row r="29" spans="1:18">
      <c r="A29" s="124"/>
      <c r="B29" s="16"/>
      <c r="C29" s="16"/>
      <c r="D29" s="10"/>
      <c r="E29" s="1846"/>
      <c r="F29" s="1846"/>
      <c r="G29" s="1846"/>
      <c r="H29" s="1846"/>
      <c r="I29" s="1846"/>
      <c r="J29" s="1846"/>
      <c r="K29" s="1846"/>
      <c r="L29" s="1846"/>
      <c r="M29" s="1846"/>
      <c r="N29" s="1846"/>
      <c r="O29" s="1846"/>
      <c r="P29" s="1846"/>
      <c r="Q29" s="1846"/>
    </row>
    <row r="30" spans="1:18">
      <c r="A30" s="124"/>
      <c r="B30" s="10"/>
      <c r="C30" s="10"/>
      <c r="D30" s="10"/>
      <c r="E30" s="23"/>
      <c r="F30" s="23"/>
      <c r="G30" s="23"/>
      <c r="H30" s="23"/>
      <c r="I30" s="23"/>
      <c r="J30" s="23"/>
      <c r="K30" s="23"/>
      <c r="L30" s="23"/>
      <c r="M30" s="23"/>
      <c r="N30" s="23"/>
      <c r="O30" s="23"/>
      <c r="P30" s="23"/>
      <c r="Q30" s="23"/>
    </row>
  </sheetData>
  <mergeCells count="17">
    <mergeCell ref="H4:Q4"/>
    <mergeCell ref="A1:B1"/>
    <mergeCell ref="E1:P1"/>
    <mergeCell ref="A2:B2"/>
    <mergeCell ref="E2:P2"/>
    <mergeCell ref="A3:Q3"/>
    <mergeCell ref="Q5:Q6"/>
    <mergeCell ref="A25:B25"/>
    <mergeCell ref="A28:M28"/>
    <mergeCell ref="E29:Q29"/>
    <mergeCell ref="A5:A6"/>
    <mergeCell ref="B5:B6"/>
    <mergeCell ref="D5:D6"/>
    <mergeCell ref="E5:H5"/>
    <mergeCell ref="I5:L5"/>
    <mergeCell ref="M5:P5"/>
    <mergeCell ref="N27:R27"/>
  </mergeCells>
  <pageMargins left="0.34" right="0.33" top="0.99" bottom="0.5" header="0.9" footer="0.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30"/>
  <sheetViews>
    <sheetView view="pageBreakPreview" zoomScale="130" zoomScaleNormal="115" zoomScaleSheetLayoutView="130" zoomScalePageLayoutView="115" workbookViewId="0">
      <pane xSplit="2" ySplit="7" topLeftCell="C8" activePane="bottomRight" state="frozen"/>
      <selection pane="topRight" activeCell="C1" sqref="C1"/>
      <selection pane="bottomLeft" activeCell="A8" sqref="A8"/>
      <selection pane="bottomRight" activeCell="B18" sqref="B18"/>
    </sheetView>
  </sheetViews>
  <sheetFormatPr baseColWidth="10" defaultColWidth="8.83203125" defaultRowHeight="13"/>
  <cols>
    <col min="1" max="1" width="5.5" style="1" customWidth="1"/>
    <col min="2" max="2" width="28.83203125" style="2" customWidth="1"/>
    <col min="3" max="3" width="7.83203125" style="2" customWidth="1"/>
    <col min="4" max="4" width="7.6640625" style="2" customWidth="1"/>
    <col min="5" max="6" width="5.6640625" customWidth="1"/>
    <col min="7" max="7" width="6.5" customWidth="1"/>
    <col min="8" max="8" width="6.6640625" customWidth="1"/>
    <col min="9" max="10" width="5.6640625" customWidth="1"/>
    <col min="11" max="11" width="6.1640625" customWidth="1"/>
    <col min="12" max="12" width="9.1640625" customWidth="1"/>
    <col min="13" max="14" width="5.6640625" customWidth="1"/>
    <col min="15" max="15" width="6.5" customWidth="1"/>
    <col min="16" max="16" width="7.1640625" customWidth="1"/>
    <col min="17" max="17" width="18.6640625" customWidth="1"/>
  </cols>
  <sheetData>
    <row r="1" spans="1:17" ht="14.25" customHeight="1">
      <c r="A1" s="1923" t="s">
        <v>3</v>
      </c>
      <c r="B1" s="1923"/>
      <c r="C1" s="125"/>
      <c r="D1" s="10"/>
      <c r="E1" s="1924"/>
      <c r="F1" s="1924"/>
      <c r="G1" s="1924"/>
      <c r="H1" s="1924"/>
      <c r="I1" s="1924"/>
      <c r="J1" s="1924"/>
      <c r="K1" s="1924"/>
      <c r="L1" s="1924"/>
      <c r="M1" s="1924"/>
      <c r="N1" s="1924"/>
      <c r="O1" s="1924"/>
      <c r="P1" s="1924"/>
      <c r="Q1" s="122" t="s">
        <v>1578</v>
      </c>
    </row>
    <row r="2" spans="1:17" ht="16.5" customHeight="1">
      <c r="A2" s="1846" t="s">
        <v>294</v>
      </c>
      <c r="B2" s="1846"/>
      <c r="C2" s="123"/>
      <c r="D2" s="10"/>
      <c r="E2" s="1904"/>
      <c r="F2" s="1904"/>
      <c r="G2" s="1904"/>
      <c r="H2" s="1904"/>
      <c r="I2" s="1904"/>
      <c r="J2" s="1904"/>
      <c r="K2" s="1904"/>
      <c r="L2" s="1904"/>
      <c r="M2" s="1904"/>
      <c r="N2" s="1904"/>
      <c r="O2" s="1904"/>
      <c r="P2" s="1904"/>
      <c r="Q2" s="11"/>
    </row>
    <row r="3" spans="1:17" ht="21.75" customHeight="1">
      <c r="A3" s="1844" t="s">
        <v>933</v>
      </c>
      <c r="B3" s="1844"/>
      <c r="C3" s="1844"/>
      <c r="D3" s="1844"/>
      <c r="E3" s="1844"/>
      <c r="F3" s="1844"/>
      <c r="G3" s="1844"/>
      <c r="H3" s="1844"/>
      <c r="I3" s="1844"/>
      <c r="J3" s="1844"/>
      <c r="K3" s="1844"/>
      <c r="L3" s="1844"/>
      <c r="M3" s="1844"/>
      <c r="N3" s="1844"/>
      <c r="O3" s="1844"/>
      <c r="P3" s="1844"/>
      <c r="Q3" s="1844"/>
    </row>
    <row r="4" spans="1:17" ht="14" thickBot="1">
      <c r="A4" s="42"/>
      <c r="B4" s="42"/>
      <c r="C4" s="42"/>
      <c r="D4" s="42"/>
      <c r="E4" s="42"/>
      <c r="F4" s="42"/>
      <c r="G4" s="42"/>
      <c r="H4" s="1922" t="s">
        <v>73</v>
      </c>
      <c r="I4" s="1922"/>
      <c r="J4" s="1922"/>
      <c r="K4" s="1922"/>
      <c r="L4" s="1922"/>
      <c r="M4" s="1922"/>
      <c r="N4" s="1922"/>
      <c r="O4" s="1922"/>
      <c r="P4" s="1922"/>
      <c r="Q4" s="1922"/>
    </row>
    <row r="5" spans="1:17" ht="27.75" customHeight="1" thickTop="1">
      <c r="A5" s="1916" t="s">
        <v>0</v>
      </c>
      <c r="B5" s="1918" t="s">
        <v>8</v>
      </c>
      <c r="C5" s="1106"/>
      <c r="D5" s="1918" t="s">
        <v>9</v>
      </c>
      <c r="E5" s="1920" t="s">
        <v>14</v>
      </c>
      <c r="F5" s="1920"/>
      <c r="G5" s="1920"/>
      <c r="H5" s="1920"/>
      <c r="I5" s="1920" t="s">
        <v>210</v>
      </c>
      <c r="J5" s="1920"/>
      <c r="K5" s="1920"/>
      <c r="L5" s="1920"/>
      <c r="M5" s="1920" t="s">
        <v>15</v>
      </c>
      <c r="N5" s="1920"/>
      <c r="O5" s="1920"/>
      <c r="P5" s="1920"/>
      <c r="Q5" s="1911" t="s">
        <v>2</v>
      </c>
    </row>
    <row r="6" spans="1:17" ht="51" customHeight="1">
      <c r="A6" s="1917"/>
      <c r="B6" s="1919"/>
      <c r="C6" s="1268" t="s">
        <v>293</v>
      </c>
      <c r="D6" s="1919"/>
      <c r="E6" s="1268" t="s">
        <v>13</v>
      </c>
      <c r="F6" s="1268" t="s">
        <v>10</v>
      </c>
      <c r="G6" s="1268" t="s">
        <v>11</v>
      </c>
      <c r="H6" s="1268" t="s">
        <v>12</v>
      </c>
      <c r="I6" s="1268" t="s">
        <v>13</v>
      </c>
      <c r="J6" s="1268" t="s">
        <v>10</v>
      </c>
      <c r="K6" s="1268" t="s">
        <v>11</v>
      </c>
      <c r="L6" s="1268" t="s">
        <v>12</v>
      </c>
      <c r="M6" s="1268" t="s">
        <v>13</v>
      </c>
      <c r="N6" s="1268" t="s">
        <v>10</v>
      </c>
      <c r="O6" s="1268" t="s">
        <v>11</v>
      </c>
      <c r="P6" s="1268" t="s">
        <v>12</v>
      </c>
      <c r="Q6" s="1912"/>
    </row>
    <row r="7" spans="1:17" ht="14">
      <c r="A7" s="1133" t="s">
        <v>113</v>
      </c>
      <c r="B7" s="1134" t="s">
        <v>114</v>
      </c>
      <c r="C7" s="1134"/>
      <c r="D7" s="1135" t="s">
        <v>115</v>
      </c>
      <c r="E7" s="1135" t="s">
        <v>116</v>
      </c>
      <c r="F7" s="1135" t="s">
        <v>117</v>
      </c>
      <c r="G7" s="1135" t="s">
        <v>118</v>
      </c>
      <c r="H7" s="1135" t="s">
        <v>119</v>
      </c>
      <c r="I7" s="1135" t="s">
        <v>120</v>
      </c>
      <c r="J7" s="1135" t="s">
        <v>121</v>
      </c>
      <c r="K7" s="1135" t="s">
        <v>123</v>
      </c>
      <c r="L7" s="1269" t="s">
        <v>86</v>
      </c>
      <c r="M7" s="1135" t="s">
        <v>124</v>
      </c>
      <c r="N7" s="1135" t="s">
        <v>125</v>
      </c>
      <c r="O7" s="1135" t="s">
        <v>126</v>
      </c>
      <c r="P7" s="1135" t="s">
        <v>127</v>
      </c>
      <c r="Q7" s="1137" t="s">
        <v>128</v>
      </c>
    </row>
    <row r="8" spans="1:17" s="17" customFormat="1" ht="21.75" customHeight="1">
      <c r="A8" s="1270"/>
      <c r="B8" s="1272" t="s">
        <v>799</v>
      </c>
      <c r="C8" s="1272"/>
      <c r="D8" s="1273"/>
      <c r="E8" s="1273"/>
      <c r="F8" s="1273"/>
      <c r="G8" s="1273"/>
      <c r="H8" s="1273"/>
      <c r="I8" s="1273"/>
      <c r="J8" s="1273"/>
      <c r="K8" s="1273"/>
      <c r="L8" s="1273"/>
      <c r="M8" s="1273"/>
      <c r="N8" s="1273"/>
      <c r="O8" s="1273"/>
      <c r="P8" s="1273"/>
      <c r="Q8" s="1274"/>
    </row>
    <row r="9" spans="1:17" s="18" customFormat="1" ht="18.75" customHeight="1">
      <c r="A9" s="63"/>
      <c r="B9" s="1276" t="s">
        <v>1441</v>
      </c>
      <c r="C9" s="1276"/>
      <c r="D9" s="1277"/>
      <c r="E9" s="1277"/>
      <c r="F9" s="1277"/>
      <c r="G9" s="1277"/>
      <c r="H9" s="1277"/>
      <c r="I9" s="1277"/>
      <c r="J9" s="1277"/>
      <c r="K9" s="1277"/>
      <c r="L9" s="1277"/>
      <c r="M9" s="1277"/>
      <c r="N9" s="1277"/>
      <c r="O9" s="1277"/>
      <c r="P9" s="1277"/>
      <c r="Q9" s="64"/>
    </row>
    <row r="10" spans="1:17" s="18" customFormat="1" ht="18.75" customHeight="1">
      <c r="A10" s="63"/>
      <c r="B10" s="1276" t="s">
        <v>1457</v>
      </c>
      <c r="C10" s="1276"/>
      <c r="D10" s="1277"/>
      <c r="E10" s="1277"/>
      <c r="F10" s="1277"/>
      <c r="G10" s="1277"/>
      <c r="H10" s="1277"/>
      <c r="I10" s="1277"/>
      <c r="J10" s="1277"/>
      <c r="K10" s="1277"/>
      <c r="L10" s="1277"/>
      <c r="M10" s="1277"/>
      <c r="N10" s="1277"/>
      <c r="O10" s="1277"/>
      <c r="P10" s="1277"/>
      <c r="Q10" s="64"/>
    </row>
    <row r="11" spans="1:17" s="18" customFormat="1" ht="22.5" customHeight="1">
      <c r="A11" s="63"/>
      <c r="B11" s="1276" t="s">
        <v>295</v>
      </c>
      <c r="C11" s="1276"/>
      <c r="D11" s="1277"/>
      <c r="E11" s="1277"/>
      <c r="F11" s="1277"/>
      <c r="G11" s="1277"/>
      <c r="H11" s="1277"/>
      <c r="I11" s="1277"/>
      <c r="J11" s="1277"/>
      <c r="K11" s="1277"/>
      <c r="L11" s="1277"/>
      <c r="M11" s="1277"/>
      <c r="N11" s="1277"/>
      <c r="O11" s="1277"/>
      <c r="P11" s="1277"/>
      <c r="Q11" s="64"/>
    </row>
    <row r="12" spans="1:17" s="18" customFormat="1" ht="24" customHeight="1">
      <c r="A12" s="63"/>
      <c r="B12" s="1276" t="s">
        <v>800</v>
      </c>
      <c r="C12" s="1276"/>
      <c r="D12" s="1277"/>
      <c r="E12" s="1277"/>
      <c r="F12" s="1277"/>
      <c r="G12" s="1277"/>
      <c r="H12" s="1277"/>
      <c r="I12" s="1277"/>
      <c r="J12" s="1277"/>
      <c r="K12" s="1277"/>
      <c r="L12" s="1277"/>
      <c r="M12" s="1277"/>
      <c r="N12" s="1277"/>
      <c r="O12" s="1277"/>
      <c r="P12" s="1277"/>
      <c r="Q12" s="64"/>
    </row>
    <row r="13" spans="1:17" s="18" customFormat="1" ht="18.75" customHeight="1">
      <c r="A13" s="63"/>
      <c r="B13" s="1276" t="s">
        <v>296</v>
      </c>
      <c r="C13" s="1276"/>
      <c r="D13" s="1277"/>
      <c r="E13" s="1277"/>
      <c r="F13" s="1277"/>
      <c r="G13" s="1277"/>
      <c r="H13" s="1277"/>
      <c r="I13" s="1277"/>
      <c r="J13" s="1277"/>
      <c r="K13" s="1277"/>
      <c r="L13" s="1277"/>
      <c r="M13" s="1277"/>
      <c r="N13" s="1277"/>
      <c r="O13" s="1277"/>
      <c r="P13" s="1277"/>
      <c r="Q13" s="64"/>
    </row>
    <row r="14" spans="1:17" s="3" customFormat="1" ht="15.75" customHeight="1">
      <c r="A14" s="1286"/>
      <c r="B14" s="1287"/>
      <c r="C14" s="1287"/>
      <c r="D14" s="1288"/>
      <c r="E14" s="1289"/>
      <c r="F14" s="1289"/>
      <c r="G14" s="1289"/>
      <c r="H14" s="1289"/>
      <c r="I14" s="1289"/>
      <c r="J14" s="1289"/>
      <c r="K14" s="1289"/>
      <c r="L14" s="1289"/>
      <c r="M14" s="1289"/>
      <c r="N14" s="1289"/>
      <c r="O14" s="1289"/>
      <c r="P14" s="1289"/>
      <c r="Q14" s="1290"/>
    </row>
    <row r="15" spans="1:17" s="3" customFormat="1" ht="15.75" customHeight="1">
      <c r="A15" s="1310">
        <v>1</v>
      </c>
      <c r="B15" s="1311" t="s">
        <v>313</v>
      </c>
      <c r="C15" s="1292">
        <v>4.42</v>
      </c>
      <c r="D15" s="895" t="s">
        <v>310</v>
      </c>
      <c r="E15" s="1293">
        <f>F15+G15+H15</f>
        <v>610</v>
      </c>
      <c r="F15" s="1293">
        <v>270</v>
      </c>
      <c r="G15" s="1293">
        <f t="shared" ref="G15:G24" si="0">IF(C15&lt;3.33,165,IF(C15&lt;4.32,175,IF(C15&lt;4.4,200,IF(C15&lt;5.76,220,IF(C15&lt;6.2,260,315)))))</f>
        <v>220</v>
      </c>
      <c r="H15" s="1293">
        <f t="shared" ref="H15:H24" si="1">IF(C15&lt;3.33,70,IF(C15&lt;4.32,90,IF(C15&lt;4.4,100,120)))</f>
        <v>120</v>
      </c>
      <c r="I15" s="1293">
        <f t="shared" ref="I15:I22" si="2">J15+K15+L15</f>
        <v>122.5</v>
      </c>
      <c r="J15" s="1293">
        <f>IF(D15="CTHSVT",F15*0.6,IF(D15="TK",F15*0.3,IF(D15="PK",F15*0.25,IF(OR(D15="TBM",D15="BTLCD"),F15*0.2,IF(OR(D15="PCTCD",D15="CTCD"),F15*0.1,IF(OR(D15="TLĐT",D17="CVHT"),F15*0.15,IF(D15="NCS",F15*0.7,0)))))))</f>
        <v>67.5</v>
      </c>
      <c r="K15" s="1293">
        <f>IF(D15="CTHSVT",G15*0.6,IF(D15="TK",G15*0.3,IF(D15="PK",G15*0.25,IF(OR(D15="TBM",D15="BTLCD"),G15*0.2,IF(OR(D15="PCTCD",D15="CTCD"),G15*0.1,IF(OR(D15="TLĐT",D17="CVHT"),G15*0.15,IF(D15="NCS",G15*0.7,0)))))))</f>
        <v>55</v>
      </c>
      <c r="L15" s="1293">
        <f>IF(OR(D17="NCS",D17="NCS,TLĐT"),H15*0.7,0)</f>
        <v>0</v>
      </c>
      <c r="M15" s="1293">
        <f t="shared" ref="M15:M22" si="3">N15+O15+P15</f>
        <v>487.5</v>
      </c>
      <c r="N15" s="1293">
        <f t="shared" ref="N15:P23" si="4">F15-J15</f>
        <v>202.5</v>
      </c>
      <c r="O15" s="1293">
        <f t="shared" si="4"/>
        <v>165</v>
      </c>
      <c r="P15" s="1293">
        <f t="shared" si="4"/>
        <v>120</v>
      </c>
      <c r="Q15" s="1312" t="s">
        <v>298</v>
      </c>
    </row>
    <row r="16" spans="1:17" s="3" customFormat="1" ht="15.75" customHeight="1">
      <c r="A16" s="896">
        <v>2</v>
      </c>
      <c r="B16" s="1307" t="s">
        <v>314</v>
      </c>
      <c r="C16" s="1296">
        <v>3.66</v>
      </c>
      <c r="D16" s="897"/>
      <c r="E16" s="1293">
        <f t="shared" ref="E16:E24" si="5">F16+G16+H16</f>
        <v>535</v>
      </c>
      <c r="F16" s="1297">
        <v>270</v>
      </c>
      <c r="G16" s="1297">
        <f t="shared" si="0"/>
        <v>175</v>
      </c>
      <c r="H16" s="1297">
        <f t="shared" si="1"/>
        <v>90</v>
      </c>
      <c r="I16" s="1297">
        <f t="shared" si="2"/>
        <v>0</v>
      </c>
      <c r="J16" s="1297">
        <f>IF(D16="CTHSVT",F16*0.6,IF(D16="TK",F16*0.3,IF(D16="PK",F16*0.25,IF(OR(D16="TBM",D16="BTLCD"),F16*0.2,IF(OR(D16="PCTCD",D16="CTCD"),F16*0.1,IF(OR(D16="TLĐT",D18="CVHT"),F16*0.15,IF(D16="NCS",F16*0.7,0)))))))</f>
        <v>0</v>
      </c>
      <c r="K16" s="1297">
        <f>IF(D18="CTHSVT",G16*0.6,IF(D18="TK",G16*0.3,IF(D18="PK",G16*0.25,IF(OR(D18="TBM",D18="BTLCD"),G16*0.2,IF(OR(D18="PCTCD",D18="CTCD"),F16*0.1,IF(OR(D18="TLĐT",D18="NCS,TLĐT",D18="NCS,CVHT",D18="CVHT"),G16*0.15,0))))))</f>
        <v>0</v>
      </c>
      <c r="L16" s="1297">
        <f>IF(OR(D18="NCS",D18="NCS,TLĐT"),H16*0.7,0)</f>
        <v>0</v>
      </c>
      <c r="M16" s="1297">
        <f t="shared" si="3"/>
        <v>535</v>
      </c>
      <c r="N16" s="1297">
        <f t="shared" si="4"/>
        <v>270</v>
      </c>
      <c r="O16" s="1297">
        <f t="shared" si="4"/>
        <v>175</v>
      </c>
      <c r="P16" s="1297">
        <f t="shared" si="4"/>
        <v>90</v>
      </c>
      <c r="Q16" s="1305"/>
    </row>
    <row r="17" spans="1:17" s="3" customFormat="1" ht="15.75" customHeight="1">
      <c r="A17" s="896">
        <v>3</v>
      </c>
      <c r="B17" s="1307" t="s">
        <v>315</v>
      </c>
      <c r="C17" s="1303">
        <v>4.32</v>
      </c>
      <c r="D17" s="897" t="s">
        <v>311</v>
      </c>
      <c r="E17" s="1293">
        <f t="shared" si="5"/>
        <v>570</v>
      </c>
      <c r="F17" s="1297">
        <v>270</v>
      </c>
      <c r="G17" s="1297">
        <f t="shared" si="0"/>
        <v>200</v>
      </c>
      <c r="H17" s="1297">
        <f t="shared" si="1"/>
        <v>100</v>
      </c>
      <c r="I17" s="1297">
        <f t="shared" si="2"/>
        <v>54</v>
      </c>
      <c r="J17" s="1297">
        <f>IF(D17="CTHSVT",F17*0.6,IF(D17="TK",F17*0.3,IF(D17="PK",F17*0.25,IF(OR(D17="TBM",D17="BTLCD"),F17*0.2,IF(OR(D17="PCTCD",D17="CTCD"),F17*0.1,IF(OR(D17="TLĐT",D19="CVHT"),F17*0.15,IF(D17="NCS",F17*0.7,0)))))))</f>
        <v>54</v>
      </c>
      <c r="K17" s="1297">
        <f>IF(E17="CTHSVT",G17*0.6,IF(E17="TK",G17*0.3,IF(E17="PK",G17*0.25,IF(OR(E17="TBM",E17="BTLCD"),G17*0.2,IF(OR(E17="PCTCD",E17="CTCD"),G17*0.1,IF(OR(E17="TLĐT",E19="CVHT"),G17*0.15,IF(E17="NCS",G17*0.7,0)))))))</f>
        <v>0</v>
      </c>
      <c r="L17" s="1297">
        <f>IF(OR(D19="NCS",D19="NCS,TLĐT"),H17*0.7,0)</f>
        <v>0</v>
      </c>
      <c r="M17" s="1297">
        <f t="shared" si="3"/>
        <v>516</v>
      </c>
      <c r="N17" s="1297">
        <f t="shared" si="4"/>
        <v>216</v>
      </c>
      <c r="O17" s="1297">
        <f t="shared" si="4"/>
        <v>200</v>
      </c>
      <c r="P17" s="1297">
        <f t="shared" si="4"/>
        <v>100</v>
      </c>
      <c r="Q17" s="1305" t="s">
        <v>300</v>
      </c>
    </row>
    <row r="18" spans="1:17" s="3" customFormat="1" ht="15.75" customHeight="1">
      <c r="A18" s="896">
        <v>4</v>
      </c>
      <c r="B18" s="1307" t="s">
        <v>316</v>
      </c>
      <c r="C18" s="1296">
        <v>3.66</v>
      </c>
      <c r="D18" s="897"/>
      <c r="E18" s="1293">
        <f t="shared" si="5"/>
        <v>535</v>
      </c>
      <c r="F18" s="1297">
        <v>270</v>
      </c>
      <c r="G18" s="1297">
        <f t="shared" si="0"/>
        <v>175</v>
      </c>
      <c r="H18" s="1297">
        <f t="shared" si="1"/>
        <v>90</v>
      </c>
      <c r="I18" s="1297">
        <f t="shared" si="2"/>
        <v>0</v>
      </c>
      <c r="J18" s="1297">
        <f>IF(D20="CTHSVT",F18*0.6,IF(D20="TK",F18*0.3,IF(D20="PK",F18*0.25,IF(OR(D20="TBM",D20="BTLCD"),F18*0.2,IF(OR(D20="PCTCD",D20="CTCD"),F18*0.1,IF(OR(D20="TLĐT",D20="CVHT"),F18*0.15,IF(D20="NCS",F18*0.7,0)))))))</f>
        <v>0</v>
      </c>
      <c r="K18" s="1297">
        <f t="shared" ref="K18:K24" si="6">IF(D18="CTHSVT",G18*0.6,IF(D18="TK",G18*0.3,IF(D18="PK",G18*0.25,IF(OR(D18="TBM",D18="BTLCD"),G18*0.2,IF(OR(D18="PCTCD",D18="CTCD"),F18*0.1,IF(OR(D18="TLĐT",D18="NCS,TLĐT",D18="NCS,CVHT",D18="CVHT"),G18*0.15,0))))))</f>
        <v>0</v>
      </c>
      <c r="L18" s="1297">
        <f t="shared" ref="L18:L23" si="7">IF(OR(D18="NCS",D18="NCS,TLĐT"),H18*0.7,0)</f>
        <v>0</v>
      </c>
      <c r="M18" s="1297">
        <f t="shared" si="3"/>
        <v>535</v>
      </c>
      <c r="N18" s="1297">
        <f t="shared" si="4"/>
        <v>270</v>
      </c>
      <c r="O18" s="1297">
        <f t="shared" si="4"/>
        <v>175</v>
      </c>
      <c r="P18" s="1297">
        <f t="shared" si="4"/>
        <v>90</v>
      </c>
      <c r="Q18" s="1305"/>
    </row>
    <row r="19" spans="1:17" s="3" customFormat="1" ht="15.75" customHeight="1">
      <c r="A19" s="896">
        <v>5</v>
      </c>
      <c r="B19" s="1307" t="s">
        <v>317</v>
      </c>
      <c r="C19" s="1296">
        <v>3.66</v>
      </c>
      <c r="D19" s="897" t="s">
        <v>329</v>
      </c>
      <c r="E19" s="1293">
        <f t="shared" si="5"/>
        <v>535</v>
      </c>
      <c r="F19" s="1297">
        <v>270</v>
      </c>
      <c r="G19" s="1297">
        <f t="shared" si="0"/>
        <v>175</v>
      </c>
      <c r="H19" s="1297">
        <f t="shared" si="1"/>
        <v>90</v>
      </c>
      <c r="I19" s="1297">
        <f t="shared" si="2"/>
        <v>66.75</v>
      </c>
      <c r="J19" s="1297">
        <f t="shared" ref="J19:J24" si="8">IF(D19="CTHSVT",F19*0.6,IF(D19="TK",F19*0.3,IF(D19="PK",F19*0.25,IF(OR(D19="TBM",D19="BTLCD"),F19*0.2,IF(OR(D19="PCTCD",D19="CTCD"),F19*0.1,IF(OR(D19="TLĐT",D19="CVHT"),F19*0.15,IF(D19="NCS",F19*0.7,0)))))))</f>
        <v>40.5</v>
      </c>
      <c r="K19" s="1297">
        <f t="shared" si="6"/>
        <v>26.25</v>
      </c>
      <c r="L19" s="1297">
        <f t="shared" si="7"/>
        <v>0</v>
      </c>
      <c r="M19" s="1297">
        <f t="shared" si="3"/>
        <v>468.25</v>
      </c>
      <c r="N19" s="1297">
        <f t="shared" si="4"/>
        <v>229.5</v>
      </c>
      <c r="O19" s="1297">
        <f t="shared" si="4"/>
        <v>148.75</v>
      </c>
      <c r="P19" s="1297">
        <f t="shared" si="4"/>
        <v>90</v>
      </c>
      <c r="Q19" s="1305"/>
    </row>
    <row r="20" spans="1:17" s="3" customFormat="1" ht="15.75" customHeight="1">
      <c r="A20" s="896">
        <v>6</v>
      </c>
      <c r="B20" s="1295" t="s">
        <v>564</v>
      </c>
      <c r="C20" s="1296">
        <v>3.33</v>
      </c>
      <c r="D20" s="897"/>
      <c r="E20" s="1293">
        <f t="shared" si="5"/>
        <v>535</v>
      </c>
      <c r="F20" s="1297">
        <v>270</v>
      </c>
      <c r="G20" s="1297">
        <f t="shared" si="0"/>
        <v>175</v>
      </c>
      <c r="H20" s="1297">
        <f t="shared" si="1"/>
        <v>90</v>
      </c>
      <c r="I20" s="1297">
        <f t="shared" si="2"/>
        <v>0</v>
      </c>
      <c r="J20" s="1297">
        <f t="shared" si="8"/>
        <v>0</v>
      </c>
      <c r="K20" s="1297">
        <f t="shared" si="6"/>
        <v>0</v>
      </c>
      <c r="L20" s="1297">
        <f t="shared" si="7"/>
        <v>0</v>
      </c>
      <c r="M20" s="1297">
        <f t="shared" si="3"/>
        <v>535</v>
      </c>
      <c r="N20" s="1297">
        <f t="shared" si="4"/>
        <v>270</v>
      </c>
      <c r="O20" s="1297">
        <f t="shared" si="4"/>
        <v>175</v>
      </c>
      <c r="P20" s="1297">
        <f t="shared" si="4"/>
        <v>90</v>
      </c>
      <c r="Q20" s="1306"/>
    </row>
    <row r="21" spans="1:17" s="3" customFormat="1" ht="15.75" customHeight="1">
      <c r="A21" s="896">
        <v>7</v>
      </c>
      <c r="B21" s="1307" t="s">
        <v>318</v>
      </c>
      <c r="C21" s="1308">
        <v>4.6500000000000004</v>
      </c>
      <c r="D21" s="897"/>
      <c r="E21" s="1293">
        <f t="shared" si="5"/>
        <v>610</v>
      </c>
      <c r="F21" s="1297">
        <v>270</v>
      </c>
      <c r="G21" s="1297">
        <f t="shared" si="0"/>
        <v>220</v>
      </c>
      <c r="H21" s="1297">
        <f t="shared" si="1"/>
        <v>120</v>
      </c>
      <c r="I21" s="1297">
        <f t="shared" si="2"/>
        <v>0</v>
      </c>
      <c r="J21" s="1297">
        <f t="shared" si="8"/>
        <v>0</v>
      </c>
      <c r="K21" s="1297">
        <f t="shared" si="6"/>
        <v>0</v>
      </c>
      <c r="L21" s="1297">
        <f t="shared" si="7"/>
        <v>0</v>
      </c>
      <c r="M21" s="1297">
        <f t="shared" si="3"/>
        <v>610</v>
      </c>
      <c r="N21" s="1297">
        <f t="shared" si="4"/>
        <v>270</v>
      </c>
      <c r="O21" s="1297">
        <f t="shared" si="4"/>
        <v>220</v>
      </c>
      <c r="P21" s="1297">
        <f t="shared" si="4"/>
        <v>120</v>
      </c>
      <c r="Q21" s="1305"/>
    </row>
    <row r="22" spans="1:17" s="3" customFormat="1" ht="15.75" customHeight="1">
      <c r="A22" s="896">
        <v>8</v>
      </c>
      <c r="B22" s="1307" t="s">
        <v>319</v>
      </c>
      <c r="C22" s="1296">
        <v>4.9800000000000004</v>
      </c>
      <c r="D22" s="56"/>
      <c r="E22" s="1293">
        <f t="shared" si="5"/>
        <v>610</v>
      </c>
      <c r="F22" s="1297">
        <v>270</v>
      </c>
      <c r="G22" s="1297">
        <f t="shared" si="0"/>
        <v>220</v>
      </c>
      <c r="H22" s="1297">
        <f t="shared" si="1"/>
        <v>120</v>
      </c>
      <c r="I22" s="1297">
        <f t="shared" si="2"/>
        <v>0</v>
      </c>
      <c r="J22" s="1297">
        <f t="shared" si="8"/>
        <v>0</v>
      </c>
      <c r="K22" s="1297">
        <f t="shared" si="6"/>
        <v>0</v>
      </c>
      <c r="L22" s="1297">
        <f t="shared" si="7"/>
        <v>0</v>
      </c>
      <c r="M22" s="1297">
        <f t="shared" si="3"/>
        <v>610</v>
      </c>
      <c r="N22" s="1297">
        <f t="shared" si="4"/>
        <v>270</v>
      </c>
      <c r="O22" s="1297">
        <f t="shared" si="4"/>
        <v>220</v>
      </c>
      <c r="P22" s="1297">
        <f t="shared" si="4"/>
        <v>120</v>
      </c>
      <c r="Q22" s="57"/>
    </row>
    <row r="23" spans="1:17" s="3" customFormat="1" ht="15.75" customHeight="1">
      <c r="A23" s="896">
        <v>9</v>
      </c>
      <c r="B23" s="904" t="s">
        <v>576</v>
      </c>
      <c r="C23" s="159">
        <v>2.67</v>
      </c>
      <c r="D23" s="897"/>
      <c r="E23" s="1293">
        <f t="shared" si="5"/>
        <v>505</v>
      </c>
      <c r="F23" s="905">
        <v>270</v>
      </c>
      <c r="G23" s="1297">
        <f t="shared" si="0"/>
        <v>165</v>
      </c>
      <c r="H23" s="1297">
        <f t="shared" si="1"/>
        <v>70</v>
      </c>
      <c r="I23" s="905">
        <v>0</v>
      </c>
      <c r="J23" s="1297">
        <f t="shared" si="8"/>
        <v>0</v>
      </c>
      <c r="K23" s="1297">
        <f t="shared" si="6"/>
        <v>0</v>
      </c>
      <c r="L23" s="1297">
        <f t="shared" si="7"/>
        <v>0</v>
      </c>
      <c r="M23" s="1297">
        <f>N23+O23+P23</f>
        <v>505</v>
      </c>
      <c r="N23" s="1297">
        <f t="shared" si="4"/>
        <v>270</v>
      </c>
      <c r="O23" s="1297">
        <f t="shared" si="4"/>
        <v>165</v>
      </c>
      <c r="P23" s="1297">
        <f t="shared" si="4"/>
        <v>70</v>
      </c>
      <c r="Q23" s="57"/>
    </row>
    <row r="24" spans="1:17" s="3" customFormat="1" ht="32" customHeight="1">
      <c r="A24" s="906">
        <v>10</v>
      </c>
      <c r="B24" s="907" t="s">
        <v>577</v>
      </c>
      <c r="C24" s="979">
        <v>2.34</v>
      </c>
      <c r="D24" s="908" t="s">
        <v>798</v>
      </c>
      <c r="E24" s="1293">
        <f t="shared" si="5"/>
        <v>505</v>
      </c>
      <c r="F24" s="901">
        <v>270</v>
      </c>
      <c r="G24" s="901">
        <f t="shared" si="0"/>
        <v>165</v>
      </c>
      <c r="H24" s="901">
        <f t="shared" si="1"/>
        <v>70</v>
      </c>
      <c r="I24" s="901">
        <f>J24+K24+L24</f>
        <v>261</v>
      </c>
      <c r="J24" s="901">
        <f t="shared" si="8"/>
        <v>162</v>
      </c>
      <c r="K24" s="901">
        <f t="shared" si="6"/>
        <v>99</v>
      </c>
      <c r="L24" s="901">
        <f>IF(OR(D24="NCS",D24="NCS,TLĐT"),H24*0.7,0)</f>
        <v>0</v>
      </c>
      <c r="M24" s="901">
        <f>N24+O24+P24</f>
        <v>244</v>
      </c>
      <c r="N24" s="901">
        <f>F24-J24</f>
        <v>108</v>
      </c>
      <c r="O24" s="901">
        <f>G24-K24</f>
        <v>66</v>
      </c>
      <c r="P24" s="901">
        <f>H24-L24</f>
        <v>70</v>
      </c>
      <c r="Q24" s="1313" t="s">
        <v>892</v>
      </c>
    </row>
    <row r="25" spans="1:17" s="3" customFormat="1" ht="15.75" customHeight="1" thickBot="1">
      <c r="A25" s="1929" t="s">
        <v>320</v>
      </c>
      <c r="B25" s="1930"/>
      <c r="C25" s="1281"/>
      <c r="D25" s="1282"/>
      <c r="E25" s="1283">
        <f>SUM(E15:E24)</f>
        <v>5550</v>
      </c>
      <c r="F25" s="1283">
        <f>SUM(F15:F24)</f>
        <v>2700</v>
      </c>
      <c r="G25" s="1283">
        <f>SUM(G15:G24)</f>
        <v>1890</v>
      </c>
      <c r="H25" s="1283">
        <f>SUM(H15:H24)</f>
        <v>960</v>
      </c>
      <c r="I25" s="1283">
        <f t="shared" ref="I25:K25" si="9">SUM(I15:I24)</f>
        <v>504.25</v>
      </c>
      <c r="J25" s="1283">
        <f t="shared" si="9"/>
        <v>324</v>
      </c>
      <c r="K25" s="1283">
        <f t="shared" si="9"/>
        <v>180.25</v>
      </c>
      <c r="L25" s="1283">
        <f t="shared" ref="L25:P25" si="10">SUM(L15:L24)</f>
        <v>0</v>
      </c>
      <c r="M25" s="1283">
        <f t="shared" si="10"/>
        <v>5045.75</v>
      </c>
      <c r="N25" s="1283">
        <f t="shared" si="10"/>
        <v>2376</v>
      </c>
      <c r="O25" s="1283">
        <f t="shared" si="10"/>
        <v>1709.75</v>
      </c>
      <c r="P25" s="1283">
        <f t="shared" si="10"/>
        <v>960</v>
      </c>
      <c r="Q25" s="1285"/>
    </row>
    <row r="26" spans="1:17" ht="14" thickTop="1">
      <c r="A26" s="124"/>
      <c r="B26" s="10"/>
      <c r="C26" s="10"/>
      <c r="D26" s="10"/>
      <c r="E26" s="1927" t="s">
        <v>883</v>
      </c>
      <c r="F26" s="1927"/>
      <c r="G26" s="1927"/>
      <c r="H26" s="1927"/>
      <c r="I26" s="1927"/>
      <c r="J26" s="1927"/>
      <c r="K26" s="1927"/>
      <c r="L26" s="1927"/>
      <c r="M26" s="1927"/>
      <c r="N26" s="1927"/>
      <c r="O26" s="1927"/>
      <c r="P26" s="1927"/>
      <c r="Q26" s="1927"/>
    </row>
    <row r="27" spans="1:17">
      <c r="A27" s="124"/>
      <c r="B27" s="15"/>
      <c r="C27" s="15"/>
      <c r="D27" s="10"/>
      <c r="F27" s="72"/>
      <c r="G27" s="72"/>
      <c r="H27" s="72"/>
      <c r="I27" s="72"/>
      <c r="J27" s="72"/>
      <c r="K27" s="72"/>
      <c r="L27" s="72"/>
      <c r="M27" s="72"/>
      <c r="N27" s="1846"/>
      <c r="O27" s="1846"/>
      <c r="P27" s="1846"/>
      <c r="Q27" s="1846"/>
    </row>
    <row r="28" spans="1:17" ht="27" customHeight="1">
      <c r="A28" s="1915" t="s">
        <v>236</v>
      </c>
      <c r="B28" s="1915"/>
      <c r="C28" s="1915"/>
      <c r="D28" s="1915"/>
      <c r="E28" s="1915"/>
      <c r="F28" s="1915"/>
      <c r="G28" s="1915"/>
      <c r="H28" s="1915"/>
      <c r="I28" s="1915"/>
      <c r="J28" s="1915"/>
      <c r="K28" s="1915"/>
      <c r="L28" s="1915"/>
      <c r="M28" s="1915"/>
      <c r="N28" s="23"/>
      <c r="O28" s="23"/>
      <c r="P28" s="23"/>
      <c r="Q28" s="23"/>
    </row>
    <row r="29" spans="1:17">
      <c r="A29" s="124"/>
      <c r="B29" s="16"/>
      <c r="C29" s="16"/>
      <c r="D29" s="10"/>
      <c r="E29" s="1846"/>
      <c r="F29" s="1846"/>
      <c r="G29" s="1846"/>
      <c r="H29" s="1846"/>
      <c r="I29" s="1846"/>
      <c r="J29" s="1846"/>
      <c r="K29" s="1846"/>
      <c r="L29" s="1846"/>
      <c r="M29" s="1846"/>
      <c r="N29" s="1846"/>
      <c r="O29" s="1846"/>
      <c r="P29" s="1846"/>
      <c r="Q29" s="1846"/>
    </row>
    <row r="30" spans="1:17">
      <c r="A30" s="124"/>
      <c r="B30" s="10"/>
      <c r="C30" s="10"/>
      <c r="D30" s="10"/>
      <c r="E30" s="1910"/>
      <c r="F30" s="1910"/>
      <c r="G30" s="1910"/>
      <c r="H30" s="1910"/>
      <c r="I30" s="1910"/>
      <c r="J30" s="1910"/>
      <c r="K30" s="1910"/>
      <c r="L30" s="1910"/>
      <c r="M30" s="1910"/>
      <c r="N30" s="1910"/>
      <c r="O30" s="1910"/>
      <c r="P30" s="1910"/>
      <c r="Q30" s="1910"/>
    </row>
  </sheetData>
  <mergeCells count="19">
    <mergeCell ref="H4:Q4"/>
    <mergeCell ref="A1:B1"/>
    <mergeCell ref="E1:P1"/>
    <mergeCell ref="A2:B2"/>
    <mergeCell ref="E2:P2"/>
    <mergeCell ref="A3:Q3"/>
    <mergeCell ref="E30:Q30"/>
    <mergeCell ref="Q5:Q6"/>
    <mergeCell ref="A25:B25"/>
    <mergeCell ref="E26:Q26"/>
    <mergeCell ref="N27:Q27"/>
    <mergeCell ref="A28:M28"/>
    <mergeCell ref="E29:Q29"/>
    <mergeCell ref="A5:A6"/>
    <mergeCell ref="B5:B6"/>
    <mergeCell ref="D5:D6"/>
    <mergeCell ref="E5:H5"/>
    <mergeCell ref="I5:L5"/>
    <mergeCell ref="M5:P5"/>
  </mergeCells>
  <pageMargins left="0.34" right="0.2" top="0.64" bottom="0.34" header="0.45" footer="0.2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A1:Q29"/>
  <sheetViews>
    <sheetView view="pageBreakPreview" zoomScale="120" zoomScaleNormal="115" zoomScaleSheetLayoutView="120" zoomScalePageLayoutView="115" workbookViewId="0">
      <pane xSplit="2" ySplit="7" topLeftCell="C8" activePane="bottomRight" state="frozen"/>
      <selection pane="topRight" activeCell="C1" sqref="C1"/>
      <selection pane="bottomLeft" activeCell="A8" sqref="A8"/>
      <selection pane="bottomRight" activeCell="L18" sqref="L18"/>
    </sheetView>
  </sheetViews>
  <sheetFormatPr baseColWidth="10" defaultColWidth="8.83203125" defaultRowHeight="13"/>
  <cols>
    <col min="1" max="1" width="5.5" style="1" customWidth="1"/>
    <col min="2" max="2" width="28.5" style="2" customWidth="1"/>
    <col min="3" max="3" width="7.83203125" style="2" customWidth="1"/>
    <col min="4" max="4" width="6.5" style="2" customWidth="1"/>
    <col min="5" max="6" width="5.6640625" customWidth="1"/>
    <col min="7" max="7" width="6.5" customWidth="1"/>
    <col min="8" max="8" width="6.6640625" customWidth="1"/>
    <col min="9" max="10" width="5.6640625" customWidth="1"/>
    <col min="11" max="11" width="6.1640625" customWidth="1"/>
    <col min="12" max="12" width="7.83203125" customWidth="1"/>
    <col min="13" max="13" width="5.6640625" customWidth="1"/>
    <col min="14" max="15" width="6.5" customWidth="1"/>
    <col min="16" max="16" width="7.1640625" customWidth="1"/>
    <col min="17" max="17" width="20.5" customWidth="1"/>
  </cols>
  <sheetData>
    <row r="1" spans="1:17" ht="14.25" customHeight="1">
      <c r="A1" s="1923" t="s">
        <v>3</v>
      </c>
      <c r="B1" s="1923"/>
      <c r="C1" s="125"/>
      <c r="D1" s="10"/>
      <c r="E1" s="1924"/>
      <c r="F1" s="1924"/>
      <c r="G1" s="1924"/>
      <c r="H1" s="1924"/>
      <c r="I1" s="1924"/>
      <c r="J1" s="1924"/>
      <c r="K1" s="1924"/>
      <c r="L1" s="1924"/>
      <c r="M1" s="1924"/>
      <c r="N1" s="1924"/>
      <c r="O1" s="1924"/>
      <c r="P1" s="1924"/>
      <c r="Q1" s="122" t="s">
        <v>1579</v>
      </c>
    </row>
    <row r="2" spans="1:17" ht="16.5" customHeight="1">
      <c r="A2" s="1846" t="s">
        <v>294</v>
      </c>
      <c r="B2" s="1846"/>
      <c r="C2" s="123"/>
      <c r="D2" s="10"/>
      <c r="E2" s="1904"/>
      <c r="F2" s="1904"/>
      <c r="G2" s="1904"/>
      <c r="H2" s="1904"/>
      <c r="I2" s="1904"/>
      <c r="J2" s="1904"/>
      <c r="K2" s="1904"/>
      <c r="L2" s="1904"/>
      <c r="M2" s="1904"/>
      <c r="N2" s="1904"/>
      <c r="O2" s="1904"/>
      <c r="P2" s="1904"/>
      <c r="Q2" s="11"/>
    </row>
    <row r="3" spans="1:17" ht="21.75" customHeight="1">
      <c r="A3" s="1844" t="s">
        <v>939</v>
      </c>
      <c r="B3" s="1844"/>
      <c r="C3" s="1844"/>
      <c r="D3" s="1844"/>
      <c r="E3" s="1844"/>
      <c r="F3" s="1844"/>
      <c r="G3" s="1844"/>
      <c r="H3" s="1844"/>
      <c r="I3" s="1844"/>
      <c r="J3" s="1844"/>
      <c r="K3" s="1844"/>
      <c r="L3" s="1844"/>
      <c r="M3" s="1844"/>
      <c r="N3" s="1844"/>
      <c r="O3" s="1844"/>
      <c r="P3" s="1844"/>
      <c r="Q3" s="1844"/>
    </row>
    <row r="4" spans="1:17" ht="14" thickBot="1">
      <c r="A4" s="42"/>
      <c r="B4" s="42"/>
      <c r="C4" s="42"/>
      <c r="D4" s="42"/>
      <c r="E4" s="42"/>
      <c r="F4" s="42"/>
      <c r="G4" s="42"/>
      <c r="H4" s="1922" t="s">
        <v>73</v>
      </c>
      <c r="I4" s="1922"/>
      <c r="J4" s="1922"/>
      <c r="K4" s="1922"/>
      <c r="L4" s="1922"/>
      <c r="M4" s="1922"/>
      <c r="N4" s="1922"/>
      <c r="O4" s="1922"/>
      <c r="P4" s="1922"/>
      <c r="Q4" s="1922"/>
    </row>
    <row r="5" spans="1:17" ht="27.75" customHeight="1" thickTop="1">
      <c r="A5" s="1916" t="s">
        <v>0</v>
      </c>
      <c r="B5" s="1918" t="s">
        <v>8</v>
      </c>
      <c r="C5" s="1106"/>
      <c r="D5" s="1918" t="s">
        <v>9</v>
      </c>
      <c r="E5" s="1920" t="s">
        <v>14</v>
      </c>
      <c r="F5" s="1920"/>
      <c r="G5" s="1920"/>
      <c r="H5" s="1920"/>
      <c r="I5" s="1920" t="s">
        <v>210</v>
      </c>
      <c r="J5" s="1920"/>
      <c r="K5" s="1920"/>
      <c r="L5" s="1920"/>
      <c r="M5" s="1920" t="s">
        <v>15</v>
      </c>
      <c r="N5" s="1920"/>
      <c r="O5" s="1920"/>
      <c r="P5" s="1920"/>
      <c r="Q5" s="1911" t="s">
        <v>2</v>
      </c>
    </row>
    <row r="6" spans="1:17" ht="51" customHeight="1">
      <c r="A6" s="1917"/>
      <c r="B6" s="1919"/>
      <c r="C6" s="1268" t="s">
        <v>293</v>
      </c>
      <c r="D6" s="1919"/>
      <c r="E6" s="1268" t="s">
        <v>13</v>
      </c>
      <c r="F6" s="1268" t="s">
        <v>10</v>
      </c>
      <c r="G6" s="1268" t="s">
        <v>11</v>
      </c>
      <c r="H6" s="1268" t="s">
        <v>12</v>
      </c>
      <c r="I6" s="1268" t="s">
        <v>13</v>
      </c>
      <c r="J6" s="1268" t="s">
        <v>10</v>
      </c>
      <c r="K6" s="1268" t="s">
        <v>11</v>
      </c>
      <c r="L6" s="1268" t="s">
        <v>12</v>
      </c>
      <c r="M6" s="1268" t="s">
        <v>13</v>
      </c>
      <c r="N6" s="1268" t="s">
        <v>10</v>
      </c>
      <c r="O6" s="1268" t="s">
        <v>11</v>
      </c>
      <c r="P6" s="1268" t="s">
        <v>12</v>
      </c>
      <c r="Q6" s="1912"/>
    </row>
    <row r="7" spans="1:17" ht="24">
      <c r="A7" s="1133" t="s">
        <v>113</v>
      </c>
      <c r="B7" s="1134" t="s">
        <v>114</v>
      </c>
      <c r="C7" s="1134"/>
      <c r="D7" s="1135" t="s">
        <v>115</v>
      </c>
      <c r="E7" s="1135" t="s">
        <v>116</v>
      </c>
      <c r="F7" s="1135" t="s">
        <v>117</v>
      </c>
      <c r="G7" s="1135" t="s">
        <v>118</v>
      </c>
      <c r="H7" s="1135" t="s">
        <v>119</v>
      </c>
      <c r="I7" s="1135" t="s">
        <v>120</v>
      </c>
      <c r="J7" s="1135" t="s">
        <v>121</v>
      </c>
      <c r="K7" s="1135" t="s">
        <v>123</v>
      </c>
      <c r="L7" s="1269" t="s">
        <v>86</v>
      </c>
      <c r="M7" s="1135" t="s">
        <v>124</v>
      </c>
      <c r="N7" s="1135" t="s">
        <v>125</v>
      </c>
      <c r="O7" s="1135" t="s">
        <v>126</v>
      </c>
      <c r="P7" s="1135" t="s">
        <v>127</v>
      </c>
      <c r="Q7" s="1137" t="s">
        <v>128</v>
      </c>
    </row>
    <row r="8" spans="1:17" s="17" customFormat="1" ht="22.5" customHeight="1">
      <c r="A8" s="1270"/>
      <c r="B8" s="1272" t="s">
        <v>528</v>
      </c>
      <c r="C8" s="1272"/>
      <c r="D8" s="1273"/>
      <c r="E8" s="1273"/>
      <c r="F8" s="1273"/>
      <c r="G8" s="1273"/>
      <c r="H8" s="1273"/>
      <c r="I8" s="1273"/>
      <c r="J8" s="1273"/>
      <c r="K8" s="1273"/>
      <c r="L8" s="1273"/>
      <c r="M8" s="1273"/>
      <c r="N8" s="1273"/>
      <c r="O8" s="1273"/>
      <c r="P8" s="1273"/>
      <c r="Q8" s="1274"/>
    </row>
    <row r="9" spans="1:17" s="18" customFormat="1" ht="18.75" customHeight="1">
      <c r="A9" s="63"/>
      <c r="B9" s="1276" t="s">
        <v>529</v>
      </c>
      <c r="C9" s="1276"/>
      <c r="D9" s="1277"/>
      <c r="E9" s="1277"/>
      <c r="F9" s="1277"/>
      <c r="G9" s="1277"/>
      <c r="H9" s="1277"/>
      <c r="I9" s="1277"/>
      <c r="J9" s="1277"/>
      <c r="K9" s="1277"/>
      <c r="L9" s="1277"/>
      <c r="M9" s="1277"/>
      <c r="N9" s="1277"/>
      <c r="O9" s="1277"/>
      <c r="P9" s="1277"/>
      <c r="Q9" s="64"/>
    </row>
    <row r="10" spans="1:17" s="18" customFormat="1" ht="18.75" customHeight="1">
      <c r="A10" s="63"/>
      <c r="B10" s="1276" t="s">
        <v>1459</v>
      </c>
      <c r="C10" s="1276"/>
      <c r="D10" s="1277"/>
      <c r="E10" s="1277"/>
      <c r="F10" s="1277"/>
      <c r="G10" s="1277"/>
      <c r="H10" s="1277"/>
      <c r="I10" s="1277"/>
      <c r="J10" s="1277"/>
      <c r="K10" s="1277"/>
      <c r="L10" s="1277"/>
      <c r="M10" s="1277"/>
      <c r="N10" s="1277"/>
      <c r="O10" s="1277"/>
      <c r="P10" s="1277"/>
      <c r="Q10" s="64"/>
    </row>
    <row r="11" spans="1:17" s="18" customFormat="1" ht="24.75" customHeight="1">
      <c r="A11" s="63"/>
      <c r="B11" s="1276" t="s">
        <v>295</v>
      </c>
      <c r="C11" s="1276"/>
      <c r="D11" s="1277"/>
      <c r="E11" s="1277"/>
      <c r="F11" s="1277"/>
      <c r="G11" s="1277"/>
      <c r="H11" s="1277"/>
      <c r="I11" s="1277"/>
      <c r="J11" s="1277"/>
      <c r="K11" s="1277"/>
      <c r="L11" s="1277"/>
      <c r="M11" s="1277"/>
      <c r="N11" s="1277"/>
      <c r="O11" s="1277"/>
      <c r="P11" s="1277"/>
      <c r="Q11" s="64"/>
    </row>
    <row r="12" spans="1:17" s="18" customFormat="1" ht="30.75" customHeight="1">
      <c r="A12" s="63"/>
      <c r="B12" s="1276" t="s">
        <v>1460</v>
      </c>
      <c r="C12" s="1276"/>
      <c r="D12" s="1277"/>
      <c r="E12" s="1277"/>
      <c r="F12" s="1277"/>
      <c r="G12" s="1277"/>
      <c r="H12" s="1277"/>
      <c r="I12" s="1277"/>
      <c r="J12" s="1277"/>
      <c r="K12" s="1277"/>
      <c r="L12" s="1277"/>
      <c r="M12" s="1277"/>
      <c r="N12" s="1277"/>
      <c r="O12" s="1277"/>
      <c r="P12" s="1277"/>
      <c r="Q12" s="64"/>
    </row>
    <row r="13" spans="1:17" s="18" customFormat="1" ht="21" customHeight="1">
      <c r="A13" s="63"/>
      <c r="B13" s="1276" t="s">
        <v>568</v>
      </c>
      <c r="C13" s="1276"/>
      <c r="D13" s="1277"/>
      <c r="E13" s="1277"/>
      <c r="F13" s="1277"/>
      <c r="G13" s="1277"/>
      <c r="H13" s="1277"/>
      <c r="I13" s="1277"/>
      <c r="J13" s="1277"/>
      <c r="K13" s="1277"/>
      <c r="L13" s="1277"/>
      <c r="M13" s="1277"/>
      <c r="N13" s="1277"/>
      <c r="O13" s="1277"/>
      <c r="P13" s="1277"/>
      <c r="Q13" s="64"/>
    </row>
    <row r="14" spans="1:17" s="3" customFormat="1" ht="15.75" customHeight="1">
      <c r="A14" s="1314">
        <v>1</v>
      </c>
      <c r="B14" s="889" t="s">
        <v>297</v>
      </c>
      <c r="C14" s="890">
        <v>6.2</v>
      </c>
      <c r="D14" s="1315" t="s">
        <v>310</v>
      </c>
      <c r="E14" s="892">
        <f>F14+G14+H14</f>
        <v>705</v>
      </c>
      <c r="F14" s="892">
        <v>270</v>
      </c>
      <c r="G14" s="892">
        <f>IF(C14&lt;3.33,165,IF(C14&lt;4.32,175,IF(C14&lt;4.4,200,IF(C14&lt;5.76,220,IF(C14&lt;6.2,260,315)))))</f>
        <v>315</v>
      </c>
      <c r="H14" s="892">
        <f>IF(C14&lt;3.33,70,IF(C14&lt;4.32,90,IF(C14&lt;4.4,100,120)))</f>
        <v>120</v>
      </c>
      <c r="I14" s="892">
        <f>J14+K14+L14</f>
        <v>146.25</v>
      </c>
      <c r="J14" s="892">
        <f>IF(D14="CTHSVT",F14*0.6,IF(D14="TK",F14*0.3,IF(D14="PK",F14*0.25,IF(OR(D14="TBM",D14="BTLCD"),F14*0.2,IF(OR(D14="PCTCD",D14="CTCD"),F14*0.1,IF(OR(D14="TLĐT",D14="CVHT"),F14*0.15,IF(D14="NCS",F14*0.7,0)))))))</f>
        <v>67.5</v>
      </c>
      <c r="K14" s="892">
        <f>IF(D14="CTHSVT",G14*0.6,IF(D14="TK",G14*0.3,IF(D14="PK",G14*0.25,IF(OR(D14="TBM",D14="BTLCD"),G14*0.2,IF(OR(D14="PCTCD",D14="CTCD"),F14*0.1,IF(OR(D14="TLĐT",D14="NCS,TLĐT",D14="NCS,CVHT",D14="CVHT"),G14*0.15,0))))))</f>
        <v>78.75</v>
      </c>
      <c r="L14" s="877">
        <f t="shared" ref="L14:L22" si="0">IF(OR(D14="NCS",D14="NCS,TLĐT"),H14*0.7,0)</f>
        <v>0</v>
      </c>
      <c r="M14" s="892">
        <f>N14+O14+P14</f>
        <v>558.75</v>
      </c>
      <c r="N14" s="892">
        <f>F14-J14</f>
        <v>202.5</v>
      </c>
      <c r="O14" s="892">
        <f>G14-K14</f>
        <v>236.25</v>
      </c>
      <c r="P14" s="892">
        <f>H14-L14</f>
        <v>120</v>
      </c>
      <c r="Q14" s="1316" t="s">
        <v>298</v>
      </c>
    </row>
    <row r="15" spans="1:17" s="3" customFormat="1" ht="15.75" customHeight="1">
      <c r="A15" s="1278">
        <v>2</v>
      </c>
      <c r="B15" s="874" t="s">
        <v>299</v>
      </c>
      <c r="C15" s="875">
        <v>5.08</v>
      </c>
      <c r="D15" s="876" t="s">
        <v>311</v>
      </c>
      <c r="E15" s="877">
        <f t="shared" ref="E15:E22" si="1">F15+G15+H15</f>
        <v>610</v>
      </c>
      <c r="F15" s="877">
        <v>270</v>
      </c>
      <c r="G15" s="877">
        <f t="shared" ref="G15:G22" si="2">IF(C15&lt;3.33,165,IF(C15&lt;4.32,175,IF(C15&lt;4.4,200,IF(C15&lt;5.76,220,IF(C15&lt;6.2,260,315)))))</f>
        <v>220</v>
      </c>
      <c r="H15" s="877">
        <f t="shared" ref="H15:H22" si="3">IF(C15&lt;3.33,70,IF(C15&lt;4.32,90,IF(C15&lt;4.4,100,120)))</f>
        <v>120</v>
      </c>
      <c r="I15" s="877">
        <f t="shared" ref="I15:I22" si="4">J15+K15+L15</f>
        <v>98</v>
      </c>
      <c r="J15" s="877">
        <f t="shared" ref="J15:J22" si="5">IF(D15="CTHSVT",F15*0.6,IF(D15="TK",F15*0.3,IF(D15="PK",F15*0.25,IF(OR(D15="TBM",D15="BTLCD"),F15*0.2,IF(OR(D15="PCTCD",D15="CTCD"),F15*0.1,IF(OR(D15="TLĐT",D15="CVHT"),F15*0.15,IF(D15="NCS",F15*0.7,0)))))))</f>
        <v>54</v>
      </c>
      <c r="K15" s="877">
        <f t="shared" ref="K15:K22" si="6">IF(D15="CTHSVT",G15*0.6,IF(D15="TK",G15*0.3,IF(D15="PK",G15*0.25,IF(OR(D15="TBM",D15="BTLCD"),G15*0.2,IF(OR(D15="PCTCD",D15="CTCD"),F15*0.1,IF(OR(D15="TLĐT",D15="NCS,TLĐT",D15="NCS,CVHT",D15="CVHT"),G15*0.15,0))))))</f>
        <v>44</v>
      </c>
      <c r="L15" s="877">
        <f t="shared" si="0"/>
        <v>0</v>
      </c>
      <c r="M15" s="877">
        <f t="shared" ref="M15:M22" si="7">N15+O15+P15</f>
        <v>512</v>
      </c>
      <c r="N15" s="877">
        <f t="shared" ref="N15:N22" si="8">F15-J15</f>
        <v>216</v>
      </c>
      <c r="O15" s="877">
        <f t="shared" ref="O15:O22" si="9">G15-K15</f>
        <v>176</v>
      </c>
      <c r="P15" s="877">
        <f t="shared" ref="P15:P22" si="10">H15-L15</f>
        <v>120</v>
      </c>
      <c r="Q15" s="1280" t="s">
        <v>300</v>
      </c>
    </row>
    <row r="16" spans="1:17" s="3" customFormat="1" ht="15.75" customHeight="1">
      <c r="A16" s="1278">
        <v>3</v>
      </c>
      <c r="B16" s="874" t="s">
        <v>301</v>
      </c>
      <c r="C16" s="875">
        <v>4.32</v>
      </c>
      <c r="D16" s="876" t="s">
        <v>312</v>
      </c>
      <c r="E16" s="877">
        <f t="shared" si="1"/>
        <v>570</v>
      </c>
      <c r="F16" s="877">
        <v>270</v>
      </c>
      <c r="G16" s="877">
        <f t="shared" si="2"/>
        <v>200</v>
      </c>
      <c r="H16" s="877">
        <f t="shared" si="3"/>
        <v>100</v>
      </c>
      <c r="I16" s="877">
        <f t="shared" si="4"/>
        <v>70.5</v>
      </c>
      <c r="J16" s="877">
        <f t="shared" si="5"/>
        <v>40.5</v>
      </c>
      <c r="K16" s="877">
        <f t="shared" si="6"/>
        <v>30</v>
      </c>
      <c r="L16" s="877">
        <f t="shared" si="0"/>
        <v>0</v>
      </c>
      <c r="M16" s="877">
        <f t="shared" si="7"/>
        <v>499.5</v>
      </c>
      <c r="N16" s="877">
        <f t="shared" si="8"/>
        <v>229.5</v>
      </c>
      <c r="O16" s="877">
        <f t="shared" si="9"/>
        <v>170</v>
      </c>
      <c r="P16" s="877">
        <f t="shared" si="10"/>
        <v>100</v>
      </c>
      <c r="Q16" s="1280" t="s">
        <v>302</v>
      </c>
    </row>
    <row r="17" spans="1:17" s="3" customFormat="1" ht="15.75" customHeight="1">
      <c r="A17" s="1278">
        <v>4</v>
      </c>
      <c r="B17" s="882" t="s">
        <v>303</v>
      </c>
      <c r="C17" s="880">
        <v>3</v>
      </c>
      <c r="D17" s="876"/>
      <c r="E17" s="877">
        <f t="shared" si="1"/>
        <v>505</v>
      </c>
      <c r="F17" s="877">
        <v>270</v>
      </c>
      <c r="G17" s="877">
        <f t="shared" si="2"/>
        <v>165</v>
      </c>
      <c r="H17" s="877">
        <f t="shared" si="3"/>
        <v>70</v>
      </c>
      <c r="I17" s="877">
        <f t="shared" si="4"/>
        <v>0</v>
      </c>
      <c r="J17" s="877">
        <f t="shared" si="5"/>
        <v>0</v>
      </c>
      <c r="K17" s="877">
        <f t="shared" si="6"/>
        <v>0</v>
      </c>
      <c r="L17" s="877">
        <f t="shared" si="0"/>
        <v>0</v>
      </c>
      <c r="M17" s="877">
        <f t="shared" si="7"/>
        <v>505</v>
      </c>
      <c r="N17" s="877">
        <f t="shared" si="8"/>
        <v>270</v>
      </c>
      <c r="O17" s="877">
        <f t="shared" si="9"/>
        <v>165</v>
      </c>
      <c r="P17" s="877">
        <f t="shared" si="10"/>
        <v>70</v>
      </c>
      <c r="Q17" s="1317"/>
    </row>
    <row r="18" spans="1:17" s="3" customFormat="1" ht="15.75" customHeight="1">
      <c r="A18" s="1278">
        <v>5</v>
      </c>
      <c r="B18" s="874" t="s">
        <v>305</v>
      </c>
      <c r="C18" s="875">
        <v>3.99</v>
      </c>
      <c r="D18" s="876"/>
      <c r="E18" s="877">
        <f t="shared" si="1"/>
        <v>535</v>
      </c>
      <c r="F18" s="877">
        <v>270</v>
      </c>
      <c r="G18" s="877">
        <f t="shared" si="2"/>
        <v>175</v>
      </c>
      <c r="H18" s="877">
        <f t="shared" si="3"/>
        <v>90</v>
      </c>
      <c r="I18" s="877">
        <f t="shared" si="4"/>
        <v>0</v>
      </c>
      <c r="J18" s="877">
        <f t="shared" si="5"/>
        <v>0</v>
      </c>
      <c r="K18" s="877">
        <f t="shared" si="6"/>
        <v>0</v>
      </c>
      <c r="L18" s="877">
        <f t="shared" si="0"/>
        <v>0</v>
      </c>
      <c r="M18" s="877">
        <f t="shared" si="7"/>
        <v>535</v>
      </c>
      <c r="N18" s="877">
        <f t="shared" si="8"/>
        <v>270</v>
      </c>
      <c r="O18" s="877">
        <f t="shared" si="9"/>
        <v>175</v>
      </c>
      <c r="P18" s="877">
        <f t="shared" si="10"/>
        <v>90</v>
      </c>
      <c r="Q18" s="1318"/>
    </row>
    <row r="19" spans="1:17" s="3" customFormat="1" ht="15.75" customHeight="1">
      <c r="A19" s="1278">
        <v>6</v>
      </c>
      <c r="B19" s="874" t="s">
        <v>304</v>
      </c>
      <c r="C19" s="875">
        <v>3.33</v>
      </c>
      <c r="D19" s="876"/>
      <c r="E19" s="877">
        <f t="shared" si="1"/>
        <v>535</v>
      </c>
      <c r="F19" s="877">
        <v>270</v>
      </c>
      <c r="G19" s="877">
        <f t="shared" si="2"/>
        <v>175</v>
      </c>
      <c r="H19" s="877">
        <f t="shared" si="3"/>
        <v>90</v>
      </c>
      <c r="I19" s="877">
        <f t="shared" si="4"/>
        <v>0</v>
      </c>
      <c r="J19" s="877">
        <f t="shared" si="5"/>
        <v>0</v>
      </c>
      <c r="K19" s="877">
        <f t="shared" si="6"/>
        <v>0</v>
      </c>
      <c r="L19" s="877">
        <f>IF(D19="NCS",H19*0.7,0)</f>
        <v>0</v>
      </c>
      <c r="M19" s="877">
        <f t="shared" si="7"/>
        <v>535</v>
      </c>
      <c r="N19" s="877">
        <f t="shared" si="8"/>
        <v>270</v>
      </c>
      <c r="O19" s="877">
        <f t="shared" si="9"/>
        <v>175</v>
      </c>
      <c r="P19" s="877">
        <f t="shared" si="10"/>
        <v>90</v>
      </c>
      <c r="Q19" s="1280" t="s">
        <v>306</v>
      </c>
    </row>
    <row r="20" spans="1:17" s="3" customFormat="1" ht="15.75" customHeight="1">
      <c r="A20" s="1278">
        <v>7</v>
      </c>
      <c r="B20" s="874" t="s">
        <v>307</v>
      </c>
      <c r="C20" s="875">
        <v>4.6500000000000004</v>
      </c>
      <c r="D20" s="876" t="s">
        <v>565</v>
      </c>
      <c r="E20" s="877">
        <f t="shared" si="1"/>
        <v>472</v>
      </c>
      <c r="F20" s="877">
        <v>472</v>
      </c>
      <c r="G20" s="877">
        <v>0</v>
      </c>
      <c r="H20" s="877">
        <v>0</v>
      </c>
      <c r="I20" s="877">
        <f t="shared" si="4"/>
        <v>0</v>
      </c>
      <c r="J20" s="877">
        <f t="shared" si="5"/>
        <v>0</v>
      </c>
      <c r="K20" s="877">
        <f t="shared" si="6"/>
        <v>0</v>
      </c>
      <c r="L20" s="877">
        <f t="shared" si="0"/>
        <v>0</v>
      </c>
      <c r="M20" s="877">
        <f t="shared" si="7"/>
        <v>472</v>
      </c>
      <c r="N20" s="877">
        <f t="shared" si="8"/>
        <v>472</v>
      </c>
      <c r="O20" s="877">
        <f t="shared" si="9"/>
        <v>0</v>
      </c>
      <c r="P20" s="877">
        <f t="shared" si="10"/>
        <v>0</v>
      </c>
      <c r="Q20" s="1319" t="s">
        <v>565</v>
      </c>
    </row>
    <row r="21" spans="1:17" s="3" customFormat="1" ht="15.75" customHeight="1">
      <c r="A21" s="1278">
        <v>8</v>
      </c>
      <c r="B21" s="909" t="s">
        <v>308</v>
      </c>
      <c r="C21" s="910">
        <v>3.99</v>
      </c>
      <c r="D21" s="876"/>
      <c r="E21" s="877">
        <f t="shared" si="1"/>
        <v>535</v>
      </c>
      <c r="F21" s="877">
        <v>270</v>
      </c>
      <c r="G21" s="877">
        <f t="shared" si="2"/>
        <v>175</v>
      </c>
      <c r="H21" s="877">
        <f t="shared" si="3"/>
        <v>90</v>
      </c>
      <c r="I21" s="877">
        <f t="shared" si="4"/>
        <v>0</v>
      </c>
      <c r="J21" s="877">
        <f t="shared" si="5"/>
        <v>0</v>
      </c>
      <c r="K21" s="877">
        <f t="shared" si="6"/>
        <v>0</v>
      </c>
      <c r="L21" s="877">
        <f t="shared" si="0"/>
        <v>0</v>
      </c>
      <c r="M21" s="877">
        <f t="shared" si="7"/>
        <v>535</v>
      </c>
      <c r="N21" s="877">
        <f t="shared" si="8"/>
        <v>270</v>
      </c>
      <c r="O21" s="877">
        <f t="shared" si="9"/>
        <v>175</v>
      </c>
      <c r="P21" s="877">
        <f t="shared" si="10"/>
        <v>90</v>
      </c>
      <c r="Q21" s="1280"/>
    </row>
    <row r="22" spans="1:17" s="3" customFormat="1" ht="15.75" customHeight="1">
      <c r="A22" s="1278">
        <v>9</v>
      </c>
      <c r="B22" s="911" t="s">
        <v>309</v>
      </c>
      <c r="C22" s="912">
        <v>4.32</v>
      </c>
      <c r="D22" s="912" t="s">
        <v>310</v>
      </c>
      <c r="E22" s="877">
        <f t="shared" si="1"/>
        <v>570</v>
      </c>
      <c r="F22" s="877">
        <v>270</v>
      </c>
      <c r="G22" s="877">
        <f t="shared" si="2"/>
        <v>200</v>
      </c>
      <c r="H22" s="877">
        <f t="shared" si="3"/>
        <v>100</v>
      </c>
      <c r="I22" s="877">
        <f t="shared" si="4"/>
        <v>117.5</v>
      </c>
      <c r="J22" s="877">
        <f t="shared" si="5"/>
        <v>67.5</v>
      </c>
      <c r="K22" s="877">
        <f t="shared" si="6"/>
        <v>50</v>
      </c>
      <c r="L22" s="877">
        <f t="shared" si="0"/>
        <v>0</v>
      </c>
      <c r="M22" s="877">
        <f t="shared" si="7"/>
        <v>452.5</v>
      </c>
      <c r="N22" s="877">
        <f t="shared" si="8"/>
        <v>202.5</v>
      </c>
      <c r="O22" s="877">
        <f t="shared" si="9"/>
        <v>150</v>
      </c>
      <c r="P22" s="877">
        <f t="shared" si="10"/>
        <v>100</v>
      </c>
      <c r="Q22" s="1279" t="s">
        <v>298</v>
      </c>
    </row>
    <row r="23" spans="1:17" s="3" customFormat="1" ht="15.75" customHeight="1">
      <c r="A23" s="883"/>
      <c r="B23" s="884"/>
      <c r="C23" s="884"/>
      <c r="D23" s="885"/>
      <c r="E23" s="886"/>
      <c r="F23" s="886"/>
      <c r="G23" s="886"/>
      <c r="H23" s="886"/>
      <c r="I23" s="886"/>
      <c r="J23" s="886"/>
      <c r="K23" s="886"/>
      <c r="L23" s="886"/>
      <c r="M23" s="886"/>
      <c r="N23" s="886"/>
      <c r="O23" s="886"/>
      <c r="P23" s="886"/>
      <c r="Q23" s="887"/>
    </row>
    <row r="24" spans="1:17" s="3" customFormat="1" ht="15.75" customHeight="1" thickBot="1">
      <c r="A24" s="1929" t="s">
        <v>320</v>
      </c>
      <c r="B24" s="1930"/>
      <c r="C24" s="1281"/>
      <c r="D24" s="1282"/>
      <c r="E24" s="1283">
        <f>SUM(E14:E22)</f>
        <v>5037</v>
      </c>
      <c r="F24" s="1283">
        <f t="shared" ref="F24:P24" si="11">SUM(F14:F22)</f>
        <v>2632</v>
      </c>
      <c r="G24" s="1283">
        <f t="shared" si="11"/>
        <v>1625</v>
      </c>
      <c r="H24" s="1283">
        <f t="shared" si="11"/>
        <v>780</v>
      </c>
      <c r="I24" s="1283">
        <f t="shared" si="11"/>
        <v>432.25</v>
      </c>
      <c r="J24" s="1283">
        <f t="shared" si="11"/>
        <v>229.5</v>
      </c>
      <c r="K24" s="1283">
        <f t="shared" si="11"/>
        <v>202.75</v>
      </c>
      <c r="L24" s="1283">
        <f t="shared" si="11"/>
        <v>0</v>
      </c>
      <c r="M24" s="1283">
        <f t="shared" si="11"/>
        <v>4604.75</v>
      </c>
      <c r="N24" s="1284">
        <f>F24-J24</f>
        <v>2402.5</v>
      </c>
      <c r="O24" s="1283">
        <f t="shared" si="11"/>
        <v>1422.25</v>
      </c>
      <c r="P24" s="1283">
        <f t="shared" si="11"/>
        <v>780</v>
      </c>
      <c r="Q24" s="1285"/>
    </row>
    <row r="25" spans="1:17" ht="14" thickTop="1">
      <c r="A25" s="14"/>
      <c r="B25" s="10"/>
      <c r="C25" s="10"/>
      <c r="D25" s="10"/>
      <c r="E25" s="1927" t="s">
        <v>883</v>
      </c>
      <c r="F25" s="1927"/>
      <c r="G25" s="1927"/>
      <c r="H25" s="1927"/>
      <c r="I25" s="1927"/>
      <c r="J25" s="1927"/>
      <c r="K25" s="1927"/>
      <c r="L25" s="1927"/>
      <c r="M25" s="1927"/>
      <c r="N25" s="1927"/>
      <c r="O25" s="1927"/>
      <c r="P25" s="1927"/>
      <c r="Q25" s="1927"/>
    </row>
    <row r="26" spans="1:17">
      <c r="A26" s="14"/>
      <c r="B26" s="15"/>
      <c r="C26" s="15"/>
      <c r="D26" s="10"/>
      <c r="F26" s="72"/>
      <c r="G26" s="72"/>
      <c r="H26" s="72"/>
      <c r="I26" s="72"/>
      <c r="J26" s="72"/>
      <c r="K26" s="72"/>
      <c r="L26" s="72"/>
      <c r="M26" s="72"/>
      <c r="N26" s="1846"/>
      <c r="O26" s="1846"/>
      <c r="P26" s="1846"/>
      <c r="Q26" s="1846"/>
    </row>
    <row r="27" spans="1:17" ht="27" customHeight="1">
      <c r="A27" s="1915" t="s">
        <v>236</v>
      </c>
      <c r="B27" s="1915"/>
      <c r="C27" s="1915"/>
      <c r="D27" s="1915"/>
      <c r="E27" s="1915"/>
      <c r="F27" s="1915"/>
      <c r="G27" s="1915"/>
      <c r="H27" s="1915"/>
      <c r="I27" s="1915"/>
      <c r="J27" s="1915"/>
      <c r="K27" s="1915"/>
      <c r="L27" s="1915"/>
      <c r="M27" s="1915"/>
      <c r="N27" s="23"/>
      <c r="O27" s="23"/>
      <c r="P27" s="23"/>
      <c r="Q27" s="23"/>
    </row>
    <row r="28" spans="1:17">
      <c r="A28" s="14"/>
      <c r="B28" s="16"/>
      <c r="C28" s="16"/>
      <c r="D28" s="10"/>
      <c r="E28" s="1846"/>
      <c r="F28" s="1846"/>
      <c r="G28" s="1846"/>
      <c r="H28" s="1846"/>
      <c r="I28" s="1846"/>
      <c r="J28" s="1846"/>
      <c r="K28" s="1846"/>
      <c r="L28" s="1846"/>
      <c r="M28" s="1846"/>
      <c r="N28" s="1846"/>
      <c r="O28" s="1846"/>
      <c r="P28" s="1846"/>
      <c r="Q28" s="1846"/>
    </row>
    <row r="29" spans="1:17">
      <c r="A29" s="14"/>
      <c r="B29" s="10"/>
      <c r="C29" s="10"/>
      <c r="D29" s="10"/>
      <c r="E29" s="1910"/>
      <c r="F29" s="1910"/>
      <c r="G29" s="1910"/>
      <c r="H29" s="1910"/>
      <c r="I29" s="1910"/>
      <c r="J29" s="1910"/>
      <c r="K29" s="1910"/>
      <c r="L29" s="1910"/>
      <c r="M29" s="1910"/>
      <c r="N29" s="1910"/>
      <c r="O29" s="1910"/>
      <c r="P29" s="1910"/>
      <c r="Q29" s="1910"/>
    </row>
  </sheetData>
  <mergeCells count="19">
    <mergeCell ref="A24:B24"/>
    <mergeCell ref="A3:Q3"/>
    <mergeCell ref="E5:H5"/>
    <mergeCell ref="E28:Q28"/>
    <mergeCell ref="E29:Q29"/>
    <mergeCell ref="E25:Q25"/>
    <mergeCell ref="E2:P2"/>
    <mergeCell ref="E1:P1"/>
    <mergeCell ref="N26:Q26"/>
    <mergeCell ref="A27:M27"/>
    <mergeCell ref="H4:Q4"/>
    <mergeCell ref="Q5:Q6"/>
    <mergeCell ref="M5:P5"/>
    <mergeCell ref="I5:L5"/>
    <mergeCell ref="A5:A6"/>
    <mergeCell ref="B5:B6"/>
    <mergeCell ref="D5:D6"/>
    <mergeCell ref="A1:B1"/>
    <mergeCell ref="A2:B2"/>
  </mergeCells>
  <phoneticPr fontId="3" type="noConversion"/>
  <pageMargins left="0.34" right="0.2" top="0.85" bottom="0.34" header="0.73" footer="0.21"/>
  <pageSetup paperSize="9" scale="89" orientation="landscape" r:id="rId1"/>
  <colBreaks count="1" manualBreakCount="1">
    <brk id="17" max="5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60"/>
  <sheetViews>
    <sheetView view="pageBreakPreview" zoomScaleNormal="115" zoomScaleSheetLayoutView="100" zoomScalePageLayoutView="115" workbookViewId="0">
      <pane xSplit="2" ySplit="5" topLeftCell="C6" activePane="bottomRight" state="frozen"/>
      <selection pane="topRight" activeCell="C1" sqref="C1"/>
      <selection pane="bottomLeft" activeCell="A8" sqref="A8"/>
      <selection pane="bottomRight" activeCell="I15" sqref="I15"/>
    </sheetView>
  </sheetViews>
  <sheetFormatPr baseColWidth="10" defaultColWidth="8.83203125" defaultRowHeight="13"/>
  <cols>
    <col min="1" max="1" width="5.5" style="580" customWidth="1"/>
    <col min="2" max="2" width="54.33203125" style="581" customWidth="1"/>
    <col min="3" max="3" width="9.83203125" style="581" customWidth="1"/>
    <col min="4" max="4" width="12.33203125" style="581" customWidth="1"/>
    <col min="5" max="5" width="12.5" style="581" customWidth="1"/>
    <col min="6" max="6" width="7.83203125" style="581" customWidth="1"/>
    <col min="7" max="7" width="8.6640625" style="581" customWidth="1"/>
    <col min="8" max="8" width="14.33203125" style="554" bestFit="1" customWidth="1"/>
    <col min="9" max="9" width="18" style="580" customWidth="1"/>
    <col min="10" max="16384" width="8.83203125" style="576"/>
  </cols>
  <sheetData>
    <row r="1" spans="1:14" ht="14.25" customHeight="1">
      <c r="A1" s="1936" t="s">
        <v>133</v>
      </c>
      <c r="B1" s="1936"/>
      <c r="C1" s="1931"/>
      <c r="D1" s="1931"/>
      <c r="E1" s="1931"/>
      <c r="F1" s="1931"/>
      <c r="G1" s="1931"/>
      <c r="H1" s="556"/>
      <c r="I1" s="574" t="s">
        <v>30</v>
      </c>
      <c r="J1" s="6"/>
      <c r="K1" s="6"/>
      <c r="L1" s="6"/>
      <c r="M1" s="6"/>
      <c r="N1" s="6"/>
    </row>
    <row r="2" spans="1:14">
      <c r="A2" s="1937" t="s">
        <v>341</v>
      </c>
      <c r="B2" s="1937"/>
      <c r="C2" s="1931"/>
      <c r="D2" s="1931"/>
      <c r="E2" s="1931"/>
      <c r="F2" s="1931"/>
      <c r="G2" s="1931"/>
      <c r="H2" s="556"/>
      <c r="I2" s="556"/>
      <c r="J2" s="6"/>
      <c r="K2" s="6"/>
      <c r="L2" s="6"/>
      <c r="M2" s="6"/>
      <c r="N2" s="6"/>
    </row>
    <row r="3" spans="1:14" ht="27" customHeight="1">
      <c r="A3" s="1938" t="s">
        <v>1260</v>
      </c>
      <c r="B3" s="1938"/>
      <c r="C3" s="1938"/>
      <c r="D3" s="1938"/>
      <c r="E3" s="1938"/>
      <c r="F3" s="1938"/>
      <c r="G3" s="1938"/>
      <c r="H3" s="1938"/>
      <c r="I3" s="1938"/>
      <c r="J3" s="6"/>
      <c r="K3" s="6"/>
      <c r="L3" s="6"/>
      <c r="M3" s="6"/>
      <c r="N3" s="6"/>
    </row>
    <row r="4" spans="1:14" ht="14" thickBot="1">
      <c r="A4" s="586"/>
      <c r="B4" s="577"/>
      <c r="C4" s="577"/>
      <c r="D4" s="577"/>
      <c r="E4" s="577"/>
      <c r="F4" s="577"/>
      <c r="G4" s="577"/>
      <c r="H4" s="586"/>
      <c r="I4" s="577" t="s">
        <v>1643</v>
      </c>
      <c r="J4" s="6"/>
      <c r="K4" s="6"/>
      <c r="L4" s="6"/>
      <c r="M4" s="6"/>
      <c r="N4" s="6"/>
    </row>
    <row r="5" spans="1:14" ht="75" customHeight="1" thickTop="1">
      <c r="A5" s="558" t="s">
        <v>0</v>
      </c>
      <c r="B5" s="559" t="s">
        <v>107</v>
      </c>
      <c r="C5" s="559" t="s">
        <v>76</v>
      </c>
      <c r="D5" s="559" t="s">
        <v>17</v>
      </c>
      <c r="E5" s="559" t="s">
        <v>71</v>
      </c>
      <c r="F5" s="559" t="s">
        <v>25</v>
      </c>
      <c r="G5" s="559" t="s">
        <v>67</v>
      </c>
      <c r="H5" s="559" t="s">
        <v>22</v>
      </c>
      <c r="I5" s="578" t="s">
        <v>2</v>
      </c>
      <c r="J5" s="6"/>
      <c r="K5" s="6"/>
      <c r="L5" s="6"/>
      <c r="M5" s="6"/>
      <c r="N5" s="6"/>
    </row>
    <row r="6" spans="1:14" ht="17.25" customHeight="1">
      <c r="A6" s="1320" t="s">
        <v>5</v>
      </c>
      <c r="B6" s="1321" t="s">
        <v>74</v>
      </c>
      <c r="C6" s="967"/>
      <c r="D6" s="967"/>
      <c r="E6" s="967"/>
      <c r="F6" s="967"/>
      <c r="G6" s="967"/>
      <c r="H6" s="967"/>
      <c r="I6" s="1322"/>
      <c r="J6" s="6"/>
      <c r="K6" s="6"/>
      <c r="L6" s="6"/>
      <c r="M6" s="6"/>
      <c r="N6" s="6"/>
    </row>
    <row r="7" spans="1:14" s="3" customFormat="1" ht="18" customHeight="1">
      <c r="A7" s="1128" t="s">
        <v>18</v>
      </c>
      <c r="B7" s="1048" t="s">
        <v>100</v>
      </c>
      <c r="C7" s="1048"/>
      <c r="D7" s="1048"/>
      <c r="E7" s="1049"/>
      <c r="F7" s="1049"/>
      <c r="G7" s="1049"/>
      <c r="H7" s="1049"/>
      <c r="I7" s="1323"/>
      <c r="J7" s="8"/>
      <c r="K7" s="8"/>
      <c r="L7" s="8"/>
      <c r="M7" s="8"/>
      <c r="N7" s="8"/>
    </row>
    <row r="8" spans="1:14" s="3" customFormat="1" ht="18" customHeight="1">
      <c r="A8" s="1128" t="s">
        <v>6</v>
      </c>
      <c r="B8" s="1048" t="s">
        <v>75</v>
      </c>
      <c r="C8" s="1077"/>
      <c r="D8" s="1077"/>
      <c r="E8" s="1049"/>
      <c r="F8" s="1049"/>
      <c r="G8" s="1049"/>
      <c r="H8" s="1324">
        <f>SUM(H9:H12)</f>
        <v>123920</v>
      </c>
      <c r="I8" s="1323"/>
      <c r="J8" s="8"/>
      <c r="K8" s="8"/>
      <c r="L8" s="8"/>
      <c r="M8" s="8"/>
      <c r="N8" s="8"/>
    </row>
    <row r="9" spans="1:14" s="3" customFormat="1" ht="18" customHeight="1">
      <c r="A9" s="1128">
        <v>1</v>
      </c>
      <c r="B9" s="1077" t="s">
        <v>1361</v>
      </c>
      <c r="C9" s="1077"/>
      <c r="D9" s="1077"/>
      <c r="E9" s="1049"/>
      <c r="F9" s="1049">
        <v>1</v>
      </c>
      <c r="G9" s="1049"/>
      <c r="H9" s="1325">
        <v>59500</v>
      </c>
      <c r="I9" s="1322" t="s">
        <v>1644</v>
      </c>
      <c r="J9" s="8"/>
      <c r="K9" s="8"/>
      <c r="L9" s="8"/>
      <c r="M9" s="8"/>
      <c r="N9" s="8"/>
    </row>
    <row r="10" spans="1:14" s="3" customFormat="1" ht="18" customHeight="1">
      <c r="A10" s="1128">
        <v>2</v>
      </c>
      <c r="B10" s="1077" t="s">
        <v>737</v>
      </c>
      <c r="C10" s="1077"/>
      <c r="D10" s="1077"/>
      <c r="E10" s="846" t="s">
        <v>343</v>
      </c>
      <c r="F10" s="1049">
        <v>2</v>
      </c>
      <c r="G10" s="1049"/>
      <c r="H10" s="1326">
        <v>21560</v>
      </c>
      <c r="I10" s="1322" t="s">
        <v>1657</v>
      </c>
      <c r="J10" s="8"/>
      <c r="K10" s="8"/>
      <c r="L10" s="8"/>
      <c r="M10" s="8"/>
      <c r="N10" s="8"/>
    </row>
    <row r="11" spans="1:14" s="3" customFormat="1" ht="18" customHeight="1">
      <c r="A11" s="1128">
        <v>3</v>
      </c>
      <c r="B11" s="1077" t="s">
        <v>497</v>
      </c>
      <c r="C11" s="846" t="s">
        <v>480</v>
      </c>
      <c r="D11" s="846" t="s">
        <v>1523</v>
      </c>
      <c r="E11" s="846" t="s">
        <v>343</v>
      </c>
      <c r="F11" s="1049">
        <v>2</v>
      </c>
      <c r="G11" s="1049"/>
      <c r="H11" s="1327">
        <v>7860</v>
      </c>
      <c r="I11" s="1322" t="s">
        <v>1658</v>
      </c>
      <c r="J11" s="8"/>
      <c r="K11" s="8"/>
      <c r="L11" s="8"/>
      <c r="M11" s="8"/>
      <c r="N11" s="8"/>
    </row>
    <row r="12" spans="1:14" s="3" customFormat="1" ht="18" customHeight="1">
      <c r="A12" s="1128">
        <v>4</v>
      </c>
      <c r="B12" s="1077" t="s">
        <v>1562</v>
      </c>
      <c r="C12" s="846"/>
      <c r="D12" s="846"/>
      <c r="E12" s="846"/>
      <c r="F12" s="1049">
        <v>1</v>
      </c>
      <c r="G12" s="1049"/>
      <c r="H12" s="1327">
        <v>35000</v>
      </c>
      <c r="I12" s="1322" t="s">
        <v>1561</v>
      </c>
      <c r="J12" s="8"/>
      <c r="K12" s="8"/>
      <c r="L12" s="8"/>
      <c r="M12" s="8"/>
      <c r="N12" s="8"/>
    </row>
    <row r="13" spans="1:14" s="3" customFormat="1" ht="18" customHeight="1">
      <c r="A13" s="1328" t="s">
        <v>7</v>
      </c>
      <c r="B13" s="1066" t="s">
        <v>344</v>
      </c>
      <c r="C13" s="1066"/>
      <c r="D13" s="1049"/>
      <c r="E13" s="1068"/>
      <c r="F13" s="1068"/>
      <c r="G13" s="1068"/>
      <c r="H13" s="1329"/>
      <c r="I13" s="1322"/>
      <c r="J13" s="8"/>
      <c r="K13" s="8"/>
      <c r="L13" s="8"/>
      <c r="M13" s="8"/>
      <c r="N13" s="8"/>
    </row>
    <row r="14" spans="1:14" s="3" customFormat="1" ht="18" customHeight="1">
      <c r="A14" s="1328">
        <v>1</v>
      </c>
      <c r="B14" s="1066" t="s">
        <v>345</v>
      </c>
      <c r="C14" s="1066"/>
      <c r="D14" s="1049"/>
      <c r="E14" s="1068"/>
      <c r="F14" s="1068"/>
      <c r="G14" s="1068"/>
      <c r="H14" s="1324">
        <f>SUM(H15:H17)</f>
        <v>255444</v>
      </c>
      <c r="I14" s="1322"/>
      <c r="J14" s="8"/>
      <c r="K14" s="8"/>
      <c r="L14" s="8"/>
      <c r="M14" s="8"/>
      <c r="N14" s="8"/>
    </row>
    <row r="15" spans="1:14" s="3" customFormat="1" ht="21" customHeight="1">
      <c r="A15" s="1330">
        <v>1.1000000000000001</v>
      </c>
      <c r="B15" s="1331" t="s">
        <v>796</v>
      </c>
      <c r="C15" s="1332" t="s">
        <v>353</v>
      </c>
      <c r="D15" s="1332" t="s">
        <v>909</v>
      </c>
      <c r="E15" s="1332" t="s">
        <v>797</v>
      </c>
      <c r="F15" s="1332">
        <v>2</v>
      </c>
      <c r="G15" s="1332">
        <v>4</v>
      </c>
      <c r="H15" s="1333">
        <v>135200</v>
      </c>
      <c r="I15" s="1334" t="s">
        <v>1659</v>
      </c>
      <c r="J15" s="8"/>
      <c r="K15" s="8"/>
      <c r="L15" s="8"/>
      <c r="M15" s="8"/>
      <c r="N15" s="8"/>
    </row>
    <row r="16" spans="1:14" s="3" customFormat="1" ht="21" customHeight="1">
      <c r="A16" s="1330">
        <v>1.2</v>
      </c>
      <c r="B16" s="1331" t="s">
        <v>1263</v>
      </c>
      <c r="C16" s="1332" t="s">
        <v>353</v>
      </c>
      <c r="D16" s="1332" t="s">
        <v>910</v>
      </c>
      <c r="E16" s="1332"/>
      <c r="F16" s="1332">
        <v>1</v>
      </c>
      <c r="G16" s="1332">
        <v>2</v>
      </c>
      <c r="H16" s="1333">
        <v>63642</v>
      </c>
      <c r="I16" s="1334" t="s">
        <v>1660</v>
      </c>
      <c r="J16" s="8"/>
      <c r="K16" s="8"/>
      <c r="L16" s="8"/>
      <c r="M16" s="8"/>
      <c r="N16" s="8"/>
    </row>
    <row r="17" spans="1:14" s="3" customFormat="1" ht="27" customHeight="1">
      <c r="A17" s="1335">
        <v>1.3</v>
      </c>
      <c r="B17" s="1331" t="s">
        <v>1262</v>
      </c>
      <c r="C17" s="1332" t="s">
        <v>353</v>
      </c>
      <c r="D17" s="1332" t="s">
        <v>910</v>
      </c>
      <c r="E17" s="1332" t="s">
        <v>911</v>
      </c>
      <c r="F17" s="1332">
        <v>2</v>
      </c>
      <c r="G17" s="1332">
        <v>2</v>
      </c>
      <c r="H17" s="1336">
        <v>56602</v>
      </c>
      <c r="I17" s="1334" t="s">
        <v>1661</v>
      </c>
      <c r="J17" s="8"/>
      <c r="K17" s="8"/>
      <c r="L17" s="8"/>
      <c r="M17" s="8"/>
      <c r="N17" s="8"/>
    </row>
    <row r="18" spans="1:14" s="3" customFormat="1" ht="18" customHeight="1">
      <c r="A18" s="1337">
        <v>2</v>
      </c>
      <c r="B18" s="1338" t="s">
        <v>346</v>
      </c>
      <c r="C18" s="1338"/>
      <c r="D18" s="1339"/>
      <c r="E18" s="1340"/>
      <c r="F18" s="1341"/>
      <c r="G18" s="1341"/>
      <c r="H18" s="1324">
        <f>SUM(H19:H22)</f>
        <v>347034</v>
      </c>
      <c r="I18" s="1322"/>
      <c r="J18" s="8"/>
      <c r="K18" s="8"/>
      <c r="L18" s="8"/>
      <c r="M18" s="8"/>
      <c r="N18" s="8"/>
    </row>
    <row r="19" spans="1:14" s="3" customFormat="1" ht="27" customHeight="1">
      <c r="A19" s="1342">
        <v>2.1</v>
      </c>
      <c r="B19" s="1343" t="s">
        <v>1264</v>
      </c>
      <c r="C19" s="1341" t="s">
        <v>342</v>
      </c>
      <c r="D19" s="1341" t="s">
        <v>885</v>
      </c>
      <c r="E19" s="1341" t="s">
        <v>834</v>
      </c>
      <c r="F19" s="1341">
        <v>2</v>
      </c>
      <c r="G19" s="1341">
        <v>2</v>
      </c>
      <c r="H19" s="1344">
        <v>91520</v>
      </c>
      <c r="I19" s="1322" t="s">
        <v>1662</v>
      </c>
      <c r="J19" s="8"/>
      <c r="K19" s="8"/>
      <c r="L19" s="8"/>
      <c r="M19" s="8"/>
      <c r="N19" s="8"/>
    </row>
    <row r="20" spans="1:14" s="3" customFormat="1" ht="18" customHeight="1">
      <c r="A20" s="1342">
        <v>2.2000000000000002</v>
      </c>
      <c r="B20" s="1343" t="s">
        <v>1452</v>
      </c>
      <c r="C20" s="1341" t="s">
        <v>342</v>
      </c>
      <c r="D20" s="1267"/>
      <c r="E20" s="1267"/>
      <c r="F20" s="1267"/>
      <c r="G20" s="1267"/>
      <c r="H20" s="1345">
        <v>118300</v>
      </c>
      <c r="I20" s="1322" t="s">
        <v>1663</v>
      </c>
      <c r="J20" s="8"/>
      <c r="K20" s="8"/>
      <c r="L20" s="8"/>
      <c r="M20" s="8"/>
      <c r="N20" s="8"/>
    </row>
    <row r="21" spans="1:14" s="3" customFormat="1" ht="18" customHeight="1">
      <c r="A21" s="1342">
        <v>2.2999999999999998</v>
      </c>
      <c r="B21" s="1346" t="s">
        <v>347</v>
      </c>
      <c r="C21" s="1341" t="s">
        <v>342</v>
      </c>
      <c r="D21" s="1341" t="s">
        <v>884</v>
      </c>
      <c r="E21" s="1341" t="s">
        <v>348</v>
      </c>
      <c r="F21" s="1341">
        <v>2</v>
      </c>
      <c r="G21" s="1341">
        <v>4</v>
      </c>
      <c r="H21" s="1347">
        <v>124054</v>
      </c>
      <c r="I21" s="1322" t="s">
        <v>1664</v>
      </c>
      <c r="J21" s="8"/>
      <c r="K21" s="8"/>
      <c r="L21" s="8"/>
      <c r="M21" s="8"/>
      <c r="N21" s="8"/>
    </row>
    <row r="22" spans="1:14" s="3" customFormat="1" ht="18" customHeight="1">
      <c r="A22" s="1342">
        <v>2.4</v>
      </c>
      <c r="B22" s="1346" t="s">
        <v>351</v>
      </c>
      <c r="C22" s="1341" t="s">
        <v>342</v>
      </c>
      <c r="D22" s="1341" t="s">
        <v>352</v>
      </c>
      <c r="E22" s="1341" t="s">
        <v>343</v>
      </c>
      <c r="F22" s="1341">
        <v>2</v>
      </c>
      <c r="G22" s="1341"/>
      <c r="H22" s="1348">
        <v>13160</v>
      </c>
      <c r="I22" s="1322" t="s">
        <v>1665</v>
      </c>
      <c r="J22" s="8"/>
      <c r="K22" s="8"/>
      <c r="L22" s="8"/>
      <c r="M22" s="8"/>
      <c r="N22" s="8"/>
    </row>
    <row r="23" spans="1:14" s="3" customFormat="1" ht="18" customHeight="1">
      <c r="A23" s="1328">
        <v>3</v>
      </c>
      <c r="B23" s="1066" t="s">
        <v>349</v>
      </c>
      <c r="C23" s="865"/>
      <c r="D23" s="1049"/>
      <c r="E23" s="1068"/>
      <c r="F23" s="1068"/>
      <c r="G23" s="1068"/>
      <c r="H23" s="1324">
        <f>SUM(H24:H26)</f>
        <v>108202</v>
      </c>
      <c r="I23" s="1322"/>
      <c r="J23" s="8"/>
      <c r="K23" s="8"/>
      <c r="L23" s="8"/>
      <c r="M23" s="8"/>
      <c r="N23" s="8"/>
    </row>
    <row r="24" spans="1:14" s="3" customFormat="1" ht="18" customHeight="1">
      <c r="A24" s="1129">
        <v>3.1</v>
      </c>
      <c r="B24" s="1077" t="s">
        <v>794</v>
      </c>
      <c r="C24" s="846" t="s">
        <v>480</v>
      </c>
      <c r="D24" s="846"/>
      <c r="E24" s="1049"/>
      <c r="F24" s="1049"/>
      <c r="G24" s="1049">
        <v>5</v>
      </c>
      <c r="H24" s="1349">
        <v>31230</v>
      </c>
      <c r="I24" s="1322"/>
      <c r="J24" s="8"/>
      <c r="K24" s="8"/>
      <c r="L24" s="8"/>
      <c r="M24" s="8"/>
      <c r="N24" s="8"/>
    </row>
    <row r="25" spans="1:14" s="579" customFormat="1" ht="18" customHeight="1">
      <c r="A25" s="1129">
        <v>3.2</v>
      </c>
      <c r="B25" s="1077" t="s">
        <v>795</v>
      </c>
      <c r="C25" s="846" t="s">
        <v>480</v>
      </c>
      <c r="D25" s="846"/>
      <c r="E25" s="1049"/>
      <c r="F25" s="1049"/>
      <c r="G25" s="1049">
        <v>5</v>
      </c>
      <c r="H25" s="1327">
        <v>35250</v>
      </c>
      <c r="I25" s="1322"/>
      <c r="J25" s="9"/>
      <c r="K25" s="9"/>
      <c r="L25" s="9"/>
      <c r="M25" s="9"/>
      <c r="N25" s="9"/>
    </row>
    <row r="26" spans="1:14" s="579" customFormat="1" ht="18" customHeight="1">
      <c r="A26" s="1129">
        <v>3.3</v>
      </c>
      <c r="B26" s="1077" t="s">
        <v>481</v>
      </c>
      <c r="C26" s="846" t="s">
        <v>480</v>
      </c>
      <c r="D26" s="846"/>
      <c r="E26" s="1049"/>
      <c r="F26" s="1049">
        <v>2</v>
      </c>
      <c r="G26" s="1049">
        <v>5</v>
      </c>
      <c r="H26" s="1350">
        <v>41722</v>
      </c>
      <c r="I26" s="1322"/>
      <c r="J26" s="9"/>
      <c r="K26" s="9"/>
      <c r="L26" s="9"/>
      <c r="M26" s="9"/>
      <c r="N26" s="9"/>
    </row>
    <row r="27" spans="1:14" s="579" customFormat="1" ht="18" customHeight="1">
      <c r="A27" s="1128" t="s">
        <v>24</v>
      </c>
      <c r="B27" s="1048" t="s">
        <v>1560</v>
      </c>
      <c r="C27" s="846"/>
      <c r="D27" s="846"/>
      <c r="E27" s="1049"/>
      <c r="F27" s="1049"/>
      <c r="G27" s="1049"/>
      <c r="H27" s="1350"/>
      <c r="I27" s="1322"/>
      <c r="J27" s="9"/>
      <c r="K27" s="9"/>
      <c r="L27" s="9"/>
      <c r="M27" s="9"/>
      <c r="N27" s="9"/>
    </row>
    <row r="28" spans="1:14" s="579" customFormat="1" ht="18" customHeight="1">
      <c r="A28" s="1829"/>
      <c r="B28" s="1830"/>
      <c r="C28" s="1831"/>
      <c r="D28" s="1831"/>
      <c r="E28" s="1832"/>
      <c r="F28" s="1832"/>
      <c r="G28" s="1832"/>
      <c r="H28" s="1833"/>
      <c r="I28" s="1834"/>
      <c r="J28" s="9"/>
      <c r="K28" s="9"/>
      <c r="L28" s="9"/>
      <c r="M28" s="9"/>
      <c r="N28" s="9"/>
    </row>
    <row r="29" spans="1:14" s="579" customFormat="1" ht="18" customHeight="1" thickBot="1">
      <c r="A29" s="1351"/>
      <c r="B29" s="1352" t="s">
        <v>375</v>
      </c>
      <c r="C29" s="1353"/>
      <c r="D29" s="1353"/>
      <c r="E29" s="1353"/>
      <c r="F29" s="1353"/>
      <c r="G29" s="1353"/>
      <c r="H29" s="1354">
        <f>H8+H18+H23+H14</f>
        <v>834600</v>
      </c>
      <c r="I29" s="1355"/>
      <c r="J29" s="9"/>
      <c r="K29" s="9"/>
      <c r="L29" s="9"/>
      <c r="M29" s="9"/>
      <c r="N29" s="9"/>
    </row>
    <row r="30" spans="1:14" ht="14" thickTop="1">
      <c r="A30" s="262"/>
      <c r="B30" s="1935" t="s">
        <v>1563</v>
      </c>
      <c r="C30" s="1935"/>
      <c r="D30" s="1935"/>
      <c r="E30" s="1935"/>
      <c r="F30" s="1935"/>
      <c r="G30" s="81"/>
      <c r="H30" s="130"/>
      <c r="I30" s="557"/>
      <c r="J30" s="6"/>
      <c r="K30" s="6"/>
      <c r="L30" s="6"/>
      <c r="M30" s="6"/>
      <c r="N30" s="6"/>
    </row>
    <row r="31" spans="1:14">
      <c r="G31" s="582"/>
      <c r="H31" s="1933" t="s">
        <v>938</v>
      </c>
      <c r="I31" s="1933"/>
      <c r="J31" s="583"/>
      <c r="K31" s="583"/>
      <c r="L31" s="6"/>
      <c r="M31" s="6"/>
      <c r="N31" s="6"/>
    </row>
    <row r="32" spans="1:14" ht="15" customHeight="1">
      <c r="A32" s="1932"/>
      <c r="B32" s="1932"/>
      <c r="C32" s="584"/>
      <c r="D32" s="584"/>
      <c r="E32" s="584"/>
      <c r="F32" s="584"/>
      <c r="G32" s="584"/>
      <c r="H32" s="1931" t="s">
        <v>20</v>
      </c>
      <c r="I32" s="1931"/>
      <c r="J32" s="575"/>
      <c r="K32" s="575"/>
      <c r="L32" s="6"/>
      <c r="M32" s="6"/>
      <c r="N32" s="6"/>
    </row>
    <row r="33" spans="1:14" ht="59.25" customHeight="1">
      <c r="A33" s="1934" t="s">
        <v>835</v>
      </c>
      <c r="B33" s="1934"/>
      <c r="C33" s="1934"/>
      <c r="D33" s="1934"/>
      <c r="E33" s="1934"/>
      <c r="F33" s="1934"/>
      <c r="G33" s="7"/>
      <c r="I33" s="585"/>
      <c r="J33" s="6"/>
      <c r="K33" s="6"/>
      <c r="L33" s="6"/>
      <c r="M33" s="6"/>
      <c r="N33" s="6"/>
    </row>
    <row r="34" spans="1:14" ht="25.5" customHeight="1">
      <c r="A34" s="5"/>
      <c r="B34" s="7"/>
      <c r="C34" s="7"/>
      <c r="D34" s="7"/>
      <c r="E34" s="7"/>
      <c r="F34" s="7"/>
      <c r="G34" s="7"/>
      <c r="H34" s="1931" t="s">
        <v>747</v>
      </c>
      <c r="I34" s="1931"/>
      <c r="J34" s="6"/>
      <c r="K34" s="6"/>
      <c r="L34" s="6"/>
      <c r="M34" s="6"/>
      <c r="N34" s="6"/>
    </row>
    <row r="35" spans="1:14">
      <c r="A35" s="5"/>
      <c r="B35" s="7"/>
      <c r="C35" s="7"/>
      <c r="D35" s="7"/>
      <c r="E35" s="7"/>
      <c r="F35" s="7"/>
      <c r="G35" s="7"/>
      <c r="H35" s="130"/>
      <c r="I35" s="5"/>
      <c r="J35" s="6"/>
      <c r="K35" s="6"/>
      <c r="L35" s="6"/>
      <c r="M35" s="6"/>
      <c r="N35" s="6"/>
    </row>
    <row r="36" spans="1:14">
      <c r="A36" s="5"/>
      <c r="B36" s="7"/>
      <c r="C36" s="7"/>
      <c r="D36" s="7"/>
      <c r="E36" s="7"/>
      <c r="F36" s="7"/>
      <c r="G36" s="7"/>
      <c r="H36" s="130"/>
      <c r="I36" s="5"/>
      <c r="J36" s="6"/>
      <c r="K36" s="6"/>
      <c r="L36" s="6"/>
      <c r="M36" s="6"/>
      <c r="N36" s="6"/>
    </row>
    <row r="37" spans="1:14">
      <c r="A37" s="5"/>
      <c r="B37" s="7"/>
      <c r="C37" s="7"/>
      <c r="D37" s="7"/>
      <c r="E37" s="7"/>
      <c r="F37" s="7"/>
      <c r="G37" s="7"/>
      <c r="H37" s="130"/>
      <c r="I37" s="5"/>
      <c r="J37" s="6"/>
      <c r="K37" s="6"/>
      <c r="L37" s="6"/>
      <c r="M37" s="6"/>
      <c r="N37" s="6"/>
    </row>
    <row r="38" spans="1:14" ht="13.5" customHeight="1">
      <c r="A38" s="5"/>
      <c r="B38" s="7"/>
      <c r="C38" s="7"/>
      <c r="D38" s="7"/>
      <c r="E38" s="7"/>
      <c r="F38" s="7"/>
      <c r="G38" s="7"/>
      <c r="H38" s="130"/>
      <c r="I38" s="5"/>
      <c r="J38" s="6"/>
      <c r="K38" s="6"/>
      <c r="L38" s="6"/>
      <c r="M38" s="6"/>
      <c r="N38" s="6"/>
    </row>
    <row r="39" spans="1:14">
      <c r="A39" s="5"/>
      <c r="B39" s="7"/>
      <c r="C39" s="7"/>
      <c r="D39" s="7"/>
      <c r="E39" s="7"/>
      <c r="F39" s="7"/>
      <c r="G39" s="7"/>
      <c r="H39" s="130"/>
      <c r="I39" s="5"/>
      <c r="J39" s="6"/>
      <c r="K39" s="6"/>
      <c r="L39" s="6"/>
      <c r="M39" s="6"/>
      <c r="N39" s="6"/>
    </row>
    <row r="40" spans="1:14">
      <c r="A40" s="5"/>
      <c r="B40" s="7"/>
      <c r="C40" s="7"/>
      <c r="D40" s="7"/>
      <c r="E40" s="7"/>
      <c r="F40" s="7"/>
      <c r="G40" s="7"/>
      <c r="H40" s="130"/>
      <c r="I40" s="5"/>
      <c r="J40" s="6"/>
      <c r="K40" s="6"/>
      <c r="L40" s="6"/>
      <c r="M40" s="6"/>
      <c r="N40" s="6"/>
    </row>
    <row r="41" spans="1:14">
      <c r="A41" s="5"/>
      <c r="B41" s="7"/>
      <c r="C41" s="7"/>
      <c r="D41" s="7"/>
      <c r="E41" s="7"/>
      <c r="F41" s="7"/>
      <c r="G41" s="7"/>
      <c r="H41" s="130"/>
      <c r="I41" s="5"/>
      <c r="J41" s="6"/>
      <c r="K41" s="6"/>
      <c r="L41" s="6"/>
      <c r="M41" s="6"/>
      <c r="N41" s="6"/>
    </row>
    <row r="42" spans="1:14">
      <c r="A42" s="5"/>
      <c r="B42" s="7"/>
      <c r="C42" s="7"/>
      <c r="D42" s="7"/>
      <c r="E42" s="7"/>
      <c r="F42" s="7"/>
      <c r="G42" s="7"/>
      <c r="H42" s="130"/>
      <c r="I42" s="5"/>
      <c r="J42" s="6"/>
      <c r="K42" s="6"/>
      <c r="L42" s="6"/>
      <c r="M42" s="6"/>
      <c r="N42" s="6"/>
    </row>
    <row r="43" spans="1:14">
      <c r="A43" s="5"/>
      <c r="B43" s="7"/>
      <c r="C43" s="7"/>
      <c r="D43" s="7"/>
      <c r="E43" s="7"/>
      <c r="F43" s="7"/>
      <c r="G43" s="7"/>
      <c r="H43" s="130"/>
      <c r="I43" s="5"/>
      <c r="J43" s="6"/>
      <c r="K43" s="6"/>
      <c r="L43" s="6"/>
      <c r="M43" s="6"/>
      <c r="N43" s="6"/>
    </row>
    <row r="44" spans="1:14">
      <c r="A44" s="5"/>
      <c r="B44" s="7"/>
      <c r="C44" s="7"/>
      <c r="D44" s="7"/>
      <c r="E44" s="7"/>
      <c r="F44" s="7"/>
      <c r="G44" s="7"/>
      <c r="H44" s="130"/>
      <c r="I44" s="5"/>
      <c r="J44" s="6"/>
      <c r="K44" s="6"/>
      <c r="L44" s="6"/>
      <c r="M44" s="6"/>
      <c r="N44" s="6"/>
    </row>
    <row r="45" spans="1:14">
      <c r="A45" s="5"/>
      <c r="B45" s="7"/>
      <c r="C45" s="7"/>
      <c r="D45" s="7"/>
      <c r="E45" s="7"/>
      <c r="F45" s="7"/>
      <c r="G45" s="7"/>
      <c r="H45" s="130"/>
      <c r="I45" s="5"/>
      <c r="J45" s="6"/>
      <c r="K45" s="6"/>
      <c r="L45" s="6"/>
      <c r="M45" s="6"/>
      <c r="N45" s="6"/>
    </row>
    <row r="46" spans="1:14">
      <c r="A46" s="5"/>
      <c r="B46" s="7"/>
      <c r="C46" s="7"/>
      <c r="D46" s="7"/>
      <c r="E46" s="7"/>
      <c r="F46" s="7"/>
      <c r="G46" s="7"/>
      <c r="H46" s="130"/>
      <c r="I46" s="5"/>
      <c r="J46" s="6"/>
      <c r="K46" s="6"/>
      <c r="L46" s="6"/>
      <c r="M46" s="6"/>
      <c r="N46" s="6"/>
    </row>
    <row r="47" spans="1:14">
      <c r="A47" s="5"/>
      <c r="B47" s="7"/>
      <c r="C47" s="7"/>
      <c r="D47" s="7"/>
      <c r="E47" s="7"/>
      <c r="F47" s="7"/>
      <c r="G47" s="7"/>
      <c r="H47" s="130"/>
      <c r="I47" s="5"/>
      <c r="J47" s="6"/>
      <c r="K47" s="6"/>
      <c r="L47" s="6"/>
      <c r="M47" s="6"/>
      <c r="N47" s="6"/>
    </row>
    <row r="48" spans="1:14">
      <c r="A48" s="5"/>
      <c r="B48" s="7"/>
      <c r="C48" s="7"/>
      <c r="D48" s="7"/>
      <c r="E48" s="7"/>
      <c r="F48" s="7"/>
      <c r="G48" s="7"/>
      <c r="H48" s="130"/>
      <c r="I48" s="5"/>
      <c r="J48" s="6"/>
      <c r="K48" s="6"/>
      <c r="L48" s="6"/>
      <c r="M48" s="6"/>
      <c r="N48" s="6"/>
    </row>
    <row r="49" spans="1:14">
      <c r="A49" s="5"/>
      <c r="B49" s="7"/>
      <c r="C49" s="7"/>
      <c r="D49" s="7"/>
      <c r="E49" s="7"/>
      <c r="F49" s="7"/>
      <c r="G49" s="7"/>
      <c r="H49" s="130"/>
      <c r="I49" s="5"/>
      <c r="J49" s="6"/>
      <c r="K49" s="6"/>
      <c r="L49" s="6"/>
      <c r="M49" s="6"/>
      <c r="N49" s="6"/>
    </row>
    <row r="50" spans="1:14">
      <c r="A50" s="5"/>
      <c r="B50" s="7"/>
      <c r="C50" s="7"/>
      <c r="D50" s="7"/>
      <c r="E50" s="7"/>
      <c r="F50" s="7"/>
      <c r="G50" s="7"/>
      <c r="H50" s="130"/>
      <c r="I50" s="5"/>
      <c r="J50" s="6"/>
      <c r="K50" s="6"/>
      <c r="L50" s="6"/>
      <c r="M50" s="6"/>
      <c r="N50" s="6"/>
    </row>
    <row r="51" spans="1:14">
      <c r="A51" s="5"/>
      <c r="B51" s="7"/>
      <c r="C51" s="7"/>
      <c r="D51" s="7"/>
      <c r="E51" s="7"/>
      <c r="F51" s="7"/>
      <c r="G51" s="7"/>
      <c r="H51" s="130"/>
      <c r="I51" s="5"/>
      <c r="J51" s="6"/>
      <c r="K51" s="6"/>
      <c r="L51" s="6"/>
      <c r="M51" s="6"/>
      <c r="N51" s="6"/>
    </row>
    <row r="52" spans="1:14">
      <c r="A52" s="5"/>
      <c r="B52" s="7"/>
      <c r="C52" s="7"/>
      <c r="D52" s="7"/>
      <c r="E52" s="7"/>
      <c r="F52" s="7"/>
      <c r="G52" s="7"/>
      <c r="H52" s="130"/>
      <c r="I52" s="5"/>
      <c r="J52" s="6"/>
      <c r="K52" s="6"/>
      <c r="L52" s="6"/>
      <c r="M52" s="6"/>
      <c r="N52" s="6"/>
    </row>
    <row r="53" spans="1:14">
      <c r="A53" s="5"/>
      <c r="B53" s="7"/>
      <c r="C53" s="7"/>
      <c r="D53" s="7"/>
      <c r="E53" s="7"/>
      <c r="F53" s="7"/>
      <c r="G53" s="7"/>
      <c r="H53" s="130"/>
      <c r="I53" s="5"/>
      <c r="J53" s="6"/>
      <c r="K53" s="6"/>
      <c r="L53" s="6"/>
      <c r="M53" s="6"/>
      <c r="N53" s="6"/>
    </row>
    <row r="54" spans="1:14">
      <c r="A54" s="5"/>
      <c r="B54" s="7"/>
      <c r="C54" s="7"/>
      <c r="D54" s="7"/>
      <c r="E54" s="7"/>
      <c r="F54" s="7"/>
      <c r="G54" s="7"/>
      <c r="H54" s="130"/>
      <c r="I54" s="5"/>
      <c r="J54" s="6"/>
      <c r="K54" s="6"/>
      <c r="L54" s="6"/>
      <c r="M54" s="6"/>
      <c r="N54" s="6"/>
    </row>
    <row r="55" spans="1:14">
      <c r="A55" s="5"/>
      <c r="B55" s="7"/>
      <c r="C55" s="7"/>
      <c r="D55" s="7"/>
      <c r="E55" s="7"/>
      <c r="F55" s="7"/>
      <c r="G55" s="7"/>
      <c r="H55" s="130"/>
      <c r="I55" s="5"/>
      <c r="J55" s="6"/>
      <c r="K55" s="6"/>
      <c r="L55" s="6"/>
      <c r="M55" s="6"/>
      <c r="N55" s="6"/>
    </row>
    <row r="56" spans="1:14">
      <c r="A56" s="5"/>
      <c r="B56" s="7"/>
      <c r="C56" s="7"/>
      <c r="D56" s="7"/>
      <c r="E56" s="7"/>
      <c r="F56" s="7"/>
      <c r="G56" s="7"/>
      <c r="H56" s="130"/>
      <c r="I56" s="5"/>
      <c r="J56" s="6"/>
      <c r="K56" s="6"/>
      <c r="L56" s="6"/>
      <c r="M56" s="6"/>
      <c r="N56" s="6"/>
    </row>
    <row r="57" spans="1:14">
      <c r="A57" s="5"/>
      <c r="B57" s="7"/>
      <c r="C57" s="7"/>
      <c r="D57" s="7"/>
      <c r="E57" s="7"/>
      <c r="F57" s="7"/>
      <c r="G57" s="7"/>
      <c r="H57" s="130"/>
      <c r="I57" s="5"/>
      <c r="J57" s="6"/>
      <c r="K57" s="6"/>
      <c r="L57" s="6"/>
      <c r="M57" s="6"/>
      <c r="N57" s="6"/>
    </row>
    <row r="58" spans="1:14">
      <c r="A58" s="5"/>
      <c r="B58" s="7"/>
      <c r="C58" s="7"/>
      <c r="D58" s="7"/>
      <c r="E58" s="7"/>
      <c r="F58" s="7"/>
      <c r="G58" s="7"/>
      <c r="H58" s="130"/>
      <c r="I58" s="5"/>
      <c r="J58" s="6"/>
      <c r="K58" s="6"/>
      <c r="L58" s="6"/>
      <c r="M58" s="6"/>
      <c r="N58" s="6"/>
    </row>
    <row r="59" spans="1:14">
      <c r="A59" s="5"/>
      <c r="B59" s="7"/>
      <c r="C59" s="7"/>
      <c r="D59" s="7"/>
      <c r="E59" s="7"/>
      <c r="F59" s="7"/>
      <c r="G59" s="7"/>
      <c r="H59" s="130"/>
      <c r="I59" s="5"/>
      <c r="J59" s="6"/>
      <c r="K59" s="6"/>
      <c r="L59" s="6"/>
      <c r="M59" s="6"/>
      <c r="N59" s="6"/>
    </row>
    <row r="60" spans="1:14">
      <c r="A60" s="5"/>
      <c r="B60" s="7"/>
      <c r="C60" s="7"/>
      <c r="D60" s="7"/>
      <c r="E60" s="7"/>
      <c r="F60" s="7"/>
      <c r="G60" s="7"/>
      <c r="H60" s="130"/>
      <c r="I60" s="5"/>
      <c r="J60" s="6"/>
      <c r="K60" s="6"/>
      <c r="L60" s="6"/>
      <c r="M60" s="6"/>
      <c r="N60" s="6"/>
    </row>
  </sheetData>
  <mergeCells count="11">
    <mergeCell ref="B30:F30"/>
    <mergeCell ref="A1:B1"/>
    <mergeCell ref="A2:B2"/>
    <mergeCell ref="C1:G1"/>
    <mergeCell ref="C2:G2"/>
    <mergeCell ref="A3:I3"/>
    <mergeCell ref="H34:I34"/>
    <mergeCell ref="H32:I32"/>
    <mergeCell ref="A32:B32"/>
    <mergeCell ref="H31:I31"/>
    <mergeCell ref="A33:F33"/>
  </mergeCells>
  <pageMargins left="0.38" right="0.2" top="0.83" bottom="0.56000000000000005" header="0.61" footer="0.6"/>
  <pageSetup paperSize="9" scale="89" orientation="landscape" r:id="rId1"/>
  <colBreaks count="1" manualBreakCount="1">
    <brk id="9" max="4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M57"/>
  <sheetViews>
    <sheetView view="pageBreakPreview" zoomScale="120" zoomScaleNormal="115" zoomScaleSheetLayoutView="120" zoomScalePageLayoutView="115" workbookViewId="0">
      <pane xSplit="2" ySplit="5" topLeftCell="C6" activePane="bottomRight" state="frozen"/>
      <selection pane="topRight" activeCell="C1" sqref="C1"/>
      <selection pane="bottomLeft" activeCell="A8" sqref="A8"/>
      <selection pane="bottomRight" activeCell="B25" sqref="B25"/>
    </sheetView>
  </sheetViews>
  <sheetFormatPr baseColWidth="10" defaultColWidth="9.1640625" defaultRowHeight="13"/>
  <cols>
    <col min="1" max="1" width="5.5" style="570" customWidth="1"/>
    <col min="2" max="2" width="35.83203125" style="553" customWidth="1"/>
    <col min="3" max="3" width="8.83203125" style="553" customWidth="1"/>
    <col min="4" max="4" width="7.6640625" style="554" customWidth="1"/>
    <col min="5" max="5" width="9.5" style="553" customWidth="1"/>
    <col min="6" max="6" width="10.6640625" style="553" customWidth="1"/>
    <col min="7" max="7" width="18" style="555" customWidth="1"/>
    <col min="8" max="16384" width="9.1640625" style="555"/>
  </cols>
  <sheetData>
    <row r="1" spans="1:12" ht="16">
      <c r="A1" s="1936" t="s">
        <v>135</v>
      </c>
      <c r="B1" s="1936"/>
      <c r="G1" s="552" t="s">
        <v>32</v>
      </c>
    </row>
    <row r="2" spans="1:12" ht="14.25" customHeight="1">
      <c r="A2" s="1937" t="s">
        <v>548</v>
      </c>
      <c r="B2" s="1937"/>
      <c r="C2" s="1931"/>
      <c r="D2" s="1931"/>
      <c r="E2" s="1931"/>
      <c r="F2" s="1931"/>
      <c r="G2" s="1931"/>
      <c r="H2" s="77"/>
      <c r="I2" s="77"/>
      <c r="J2" s="77"/>
      <c r="K2" s="77"/>
      <c r="L2" s="77"/>
    </row>
    <row r="3" spans="1:12" ht="30" customHeight="1">
      <c r="A3" s="1938" t="s">
        <v>914</v>
      </c>
      <c r="B3" s="1938"/>
      <c r="C3" s="1938"/>
      <c r="D3" s="1938"/>
      <c r="E3" s="1938"/>
      <c r="F3" s="1938"/>
      <c r="G3" s="1938"/>
      <c r="H3" s="77"/>
      <c r="I3" s="77"/>
      <c r="J3" s="77"/>
      <c r="K3" s="77"/>
      <c r="L3" s="77"/>
    </row>
    <row r="4" spans="1:12" ht="14" thickBot="1">
      <c r="A4" s="261"/>
      <c r="B4" s="261"/>
      <c r="C4" s="261"/>
      <c r="D4" s="557"/>
      <c r="E4" s="261"/>
      <c r="F4" s="258" t="s">
        <v>82</v>
      </c>
      <c r="G4" s="261"/>
      <c r="H4" s="77"/>
      <c r="I4" s="77"/>
      <c r="J4" s="77"/>
      <c r="K4" s="77"/>
      <c r="L4" s="77"/>
    </row>
    <row r="5" spans="1:12" ht="38.25" customHeight="1" thickTop="1">
      <c r="A5" s="1356" t="s">
        <v>0</v>
      </c>
      <c r="B5" s="1357" t="s">
        <v>26</v>
      </c>
      <c r="C5" s="1357" t="s">
        <v>1</v>
      </c>
      <c r="D5" s="1357" t="s">
        <v>368</v>
      </c>
      <c r="E5" s="1357" t="s">
        <v>27</v>
      </c>
      <c r="F5" s="1357" t="s">
        <v>28</v>
      </c>
      <c r="G5" s="1358" t="s">
        <v>2</v>
      </c>
      <c r="H5" s="77"/>
      <c r="I5" s="77"/>
      <c r="J5" s="77"/>
      <c r="K5" s="77"/>
      <c r="L5" s="77"/>
    </row>
    <row r="6" spans="1:12" ht="21.75" customHeight="1">
      <c r="A6" s="1359">
        <v>1</v>
      </c>
      <c r="B6" s="1360" t="s">
        <v>41</v>
      </c>
      <c r="C6" s="1361"/>
      <c r="D6" s="1362"/>
      <c r="E6" s="1362"/>
      <c r="F6" s="1363">
        <f>SUM(F7:F11)</f>
        <v>30200</v>
      </c>
      <c r="G6" s="1364"/>
      <c r="H6" s="77"/>
      <c r="I6" s="77"/>
      <c r="J6" s="77"/>
      <c r="K6" s="77"/>
      <c r="L6" s="77"/>
    </row>
    <row r="7" spans="1:12" ht="35" customHeight="1">
      <c r="A7" s="1359" t="s">
        <v>364</v>
      </c>
      <c r="B7" s="1365" t="s">
        <v>756</v>
      </c>
      <c r="C7" s="846" t="s">
        <v>769</v>
      </c>
      <c r="D7" s="1362">
        <v>2</v>
      </c>
      <c r="E7" s="1362">
        <v>100</v>
      </c>
      <c r="F7" s="848">
        <f>D7*E7</f>
        <v>200</v>
      </c>
      <c r="G7" s="1366"/>
      <c r="I7" s="77"/>
      <c r="J7" s="77"/>
      <c r="K7" s="77"/>
      <c r="L7" s="77"/>
    </row>
    <row r="8" spans="1:12" ht="36" customHeight="1">
      <c r="A8" s="1359">
        <v>1.2</v>
      </c>
      <c r="B8" s="1367" t="s">
        <v>757</v>
      </c>
      <c r="C8" s="849" t="s">
        <v>758</v>
      </c>
      <c r="D8" s="1368" t="s">
        <v>770</v>
      </c>
      <c r="E8" s="849"/>
      <c r="F8" s="848">
        <f>D8*E8</f>
        <v>0</v>
      </c>
      <c r="G8" s="1369" t="s">
        <v>759</v>
      </c>
      <c r="I8" s="77"/>
      <c r="J8" s="77"/>
      <c r="K8" s="77"/>
      <c r="L8" s="77"/>
    </row>
    <row r="9" spans="1:12" ht="54" customHeight="1">
      <c r="A9" s="1359">
        <v>1.3</v>
      </c>
      <c r="B9" s="1367" t="s">
        <v>760</v>
      </c>
      <c r="C9" s="849" t="s">
        <v>758</v>
      </c>
      <c r="D9" s="846">
        <v>1</v>
      </c>
      <c r="E9" s="849"/>
      <c r="F9" s="848">
        <f>D9*E9</f>
        <v>0</v>
      </c>
      <c r="G9" s="1369" t="s">
        <v>759</v>
      </c>
      <c r="I9" s="77"/>
      <c r="J9" s="77"/>
      <c r="K9" s="77"/>
      <c r="L9" s="77"/>
    </row>
    <row r="10" spans="1:12" ht="28">
      <c r="A10" s="1359">
        <v>1.4</v>
      </c>
      <c r="B10" s="1367" t="s">
        <v>761</v>
      </c>
      <c r="C10" s="849" t="s">
        <v>365</v>
      </c>
      <c r="D10" s="846">
        <v>1</v>
      </c>
      <c r="E10" s="849">
        <v>20000</v>
      </c>
      <c r="F10" s="848">
        <f>D10*E10</f>
        <v>20000</v>
      </c>
      <c r="G10" s="1369" t="s">
        <v>762</v>
      </c>
      <c r="I10" s="77"/>
      <c r="J10" s="77"/>
      <c r="K10" s="77"/>
      <c r="L10" s="77"/>
    </row>
    <row r="11" spans="1:12" ht="27" customHeight="1">
      <c r="A11" s="1370">
        <v>1.5</v>
      </c>
      <c r="B11" s="844" t="s">
        <v>943</v>
      </c>
      <c r="C11" s="845" t="s">
        <v>365</v>
      </c>
      <c r="D11" s="846">
        <v>1</v>
      </c>
      <c r="E11" s="1371">
        <v>10000</v>
      </c>
      <c r="F11" s="848">
        <f>D11*E11</f>
        <v>10000</v>
      </c>
      <c r="G11" s="1369"/>
      <c r="I11" s="77"/>
      <c r="J11" s="77"/>
      <c r="K11" s="77"/>
      <c r="L11" s="77"/>
    </row>
    <row r="12" spans="1:12" ht="27" customHeight="1">
      <c r="A12" s="1370">
        <v>1.6</v>
      </c>
      <c r="B12" s="844" t="s">
        <v>1355</v>
      </c>
      <c r="C12" s="845" t="s">
        <v>758</v>
      </c>
      <c r="D12" s="846">
        <v>1</v>
      </c>
      <c r="E12" s="847"/>
      <c r="F12" s="848"/>
      <c r="G12" s="1369" t="s">
        <v>1356</v>
      </c>
      <c r="I12" s="77"/>
      <c r="J12" s="77"/>
      <c r="K12" s="77"/>
      <c r="L12" s="77"/>
    </row>
    <row r="13" spans="1:12" ht="21.75" customHeight="1">
      <c r="A13" s="1359">
        <v>2</v>
      </c>
      <c r="B13" s="1360" t="s">
        <v>763</v>
      </c>
      <c r="C13" s="1372"/>
      <c r="D13" s="846"/>
      <c r="E13" s="849"/>
      <c r="F13" s="1373">
        <f>SUM(F14:F15)</f>
        <v>30000</v>
      </c>
      <c r="G13" s="1374"/>
      <c r="I13" s="77"/>
      <c r="J13" s="77"/>
      <c r="K13" s="77"/>
      <c r="L13" s="77"/>
    </row>
    <row r="14" spans="1:12" s="80" customFormat="1" ht="26" customHeight="1">
      <c r="A14" s="1359">
        <v>2.1</v>
      </c>
      <c r="B14" s="1367" t="s">
        <v>764</v>
      </c>
      <c r="C14" s="849" t="s">
        <v>771</v>
      </c>
      <c r="D14" s="1368" t="s">
        <v>772</v>
      </c>
      <c r="E14" s="849">
        <v>200</v>
      </c>
      <c r="F14" s="848">
        <f>D14*E14</f>
        <v>20000</v>
      </c>
      <c r="G14" s="1369" t="s">
        <v>759</v>
      </c>
      <c r="I14" s="79"/>
      <c r="J14" s="79"/>
      <c r="K14" s="79"/>
      <c r="L14" s="79"/>
    </row>
    <row r="15" spans="1:12" s="80" customFormat="1" ht="28">
      <c r="A15" s="1359">
        <v>2.2000000000000002</v>
      </c>
      <c r="B15" s="1079" t="s">
        <v>766</v>
      </c>
      <c r="C15" s="849" t="s">
        <v>765</v>
      </c>
      <c r="D15" s="846">
        <v>100</v>
      </c>
      <c r="E15" s="849">
        <v>100</v>
      </c>
      <c r="F15" s="848">
        <f>D15*E15</f>
        <v>10000</v>
      </c>
      <c r="G15" s="1369"/>
      <c r="I15" s="79"/>
      <c r="J15" s="79"/>
      <c r="K15" s="79"/>
      <c r="L15" s="79"/>
    </row>
    <row r="16" spans="1:12" s="80" customFormat="1" ht="21.75" customHeight="1">
      <c r="A16" s="1359">
        <v>3</v>
      </c>
      <c r="B16" s="1360" t="s">
        <v>1645</v>
      </c>
      <c r="C16" s="849"/>
      <c r="D16" s="846">
        <v>1</v>
      </c>
      <c r="E16" s="849"/>
      <c r="F16" s="1373">
        <f>SUM(F17:F18)</f>
        <v>23462</v>
      </c>
      <c r="G16" s="1369"/>
      <c r="I16" s="79"/>
      <c r="J16" s="79"/>
      <c r="K16" s="79"/>
      <c r="L16" s="79"/>
    </row>
    <row r="17" spans="1:65" s="80" customFormat="1" ht="21.75" customHeight="1">
      <c r="A17" s="1835"/>
      <c r="B17" s="1840" t="s">
        <v>1646</v>
      </c>
      <c r="C17" s="1836" t="s">
        <v>985</v>
      </c>
      <c r="D17" s="1837">
        <v>37</v>
      </c>
      <c r="E17" s="1836">
        <v>500</v>
      </c>
      <c r="F17" s="1838">
        <f>D17*E17</f>
        <v>18500</v>
      </c>
      <c r="G17" s="1839" t="s">
        <v>1647</v>
      </c>
      <c r="I17" s="79"/>
      <c r="J17" s="79"/>
      <c r="K17" s="79"/>
      <c r="L17" s="79"/>
    </row>
    <row r="18" spans="1:65" s="80" customFormat="1" ht="21.75" customHeight="1">
      <c r="A18" s="1835"/>
      <c r="B18" s="1840" t="s">
        <v>1648</v>
      </c>
      <c r="C18" s="1836" t="s">
        <v>985</v>
      </c>
      <c r="D18" s="1837">
        <f>Bieu1!G7</f>
        <v>2481</v>
      </c>
      <c r="E18" s="1836">
        <v>2</v>
      </c>
      <c r="F18" s="1838">
        <f>D18*E18</f>
        <v>4962</v>
      </c>
      <c r="G18" s="1839" t="s">
        <v>1647</v>
      </c>
      <c r="I18" s="79"/>
      <c r="J18" s="79"/>
      <c r="K18" s="79"/>
      <c r="L18" s="79"/>
    </row>
    <row r="19" spans="1:65" s="80" customFormat="1" ht="49" customHeight="1">
      <c r="A19" s="1359">
        <v>4</v>
      </c>
      <c r="B19" s="1080" t="s">
        <v>1447</v>
      </c>
      <c r="C19" s="1077"/>
      <c r="D19" s="846">
        <v>1</v>
      </c>
      <c r="E19" s="846"/>
      <c r="F19" s="1373">
        <v>10000</v>
      </c>
      <c r="G19" s="1369" t="s">
        <v>768</v>
      </c>
      <c r="I19" s="79"/>
      <c r="J19" s="79"/>
      <c r="K19" s="79"/>
      <c r="L19" s="79"/>
    </row>
    <row r="20" spans="1:65" s="80" customFormat="1" ht="21.75" customHeight="1">
      <c r="A20" s="1359">
        <v>5</v>
      </c>
      <c r="B20" s="1360" t="s">
        <v>16</v>
      </c>
      <c r="C20" s="1077"/>
      <c r="D20" s="846"/>
      <c r="E20" s="846"/>
      <c r="F20" s="848"/>
      <c r="G20" s="1375"/>
      <c r="I20" s="79"/>
      <c r="J20" s="79"/>
      <c r="K20" s="79"/>
      <c r="L20" s="79"/>
    </row>
    <row r="21" spans="1:65" s="80" customFormat="1" ht="24" customHeight="1">
      <c r="A21" s="1359">
        <v>5.0999999999999996</v>
      </c>
      <c r="B21" s="1367" t="s">
        <v>912</v>
      </c>
      <c r="C21" s="1077" t="s">
        <v>367</v>
      </c>
      <c r="D21" s="846">
        <v>5</v>
      </c>
      <c r="E21" s="846">
        <v>100</v>
      </c>
      <c r="F21" s="848">
        <f>D21*E21</f>
        <v>500</v>
      </c>
      <c r="G21" s="1376"/>
      <c r="I21" s="79"/>
      <c r="J21" s="79"/>
      <c r="K21" s="79"/>
      <c r="L21" s="79"/>
    </row>
    <row r="22" spans="1:65" s="80" customFormat="1" ht="29.25" customHeight="1">
      <c r="A22" s="1377"/>
      <c r="B22" s="871"/>
      <c r="C22" s="1077"/>
      <c r="D22" s="846"/>
      <c r="E22" s="846"/>
      <c r="F22" s="1378"/>
      <c r="G22" s="1376"/>
      <c r="I22" s="79"/>
      <c r="J22" s="79"/>
      <c r="K22" s="79"/>
      <c r="L22" s="79"/>
    </row>
    <row r="23" spans="1:65" s="80" customFormat="1" ht="21.75" customHeight="1" thickBot="1">
      <c r="A23" s="1943" t="s">
        <v>23</v>
      </c>
      <c r="B23" s="1944"/>
      <c r="C23" s="1379"/>
      <c r="D23" s="1380">
        <f>SUM(D7:D22)</f>
        <v>2631</v>
      </c>
      <c r="E23" s="1380">
        <f>SUM(E7:E22)</f>
        <v>31002</v>
      </c>
      <c r="F23" s="1381">
        <f>F6+F13+F16+F19+F22</f>
        <v>93662</v>
      </c>
      <c r="G23" s="1382"/>
      <c r="I23" s="79"/>
      <c r="J23" s="79"/>
      <c r="K23" s="79"/>
      <c r="L23" s="79"/>
    </row>
    <row r="24" spans="1:65" s="561" customFormat="1" ht="24" customHeight="1" thickTop="1">
      <c r="A24" s="262"/>
      <c r="B24" s="1942" t="s">
        <v>1649</v>
      </c>
      <c r="C24" s="1942"/>
      <c r="D24" s="560"/>
      <c r="E24" s="562"/>
      <c r="F24" s="562"/>
      <c r="G24" s="557"/>
      <c r="H24" s="563"/>
      <c r="I24" s="563"/>
      <c r="J24" s="84"/>
      <c r="K24" s="84"/>
      <c r="L24" s="84"/>
    </row>
    <row r="25" spans="1:65" s="561" customFormat="1" ht="13" customHeight="1">
      <c r="D25" s="564"/>
      <c r="E25" s="1945" t="s">
        <v>913</v>
      </c>
      <c r="F25" s="1945"/>
      <c r="G25" s="1945"/>
      <c r="H25" s="565"/>
      <c r="I25" s="565"/>
      <c r="J25" s="84"/>
      <c r="K25" s="84"/>
      <c r="L25" s="84"/>
    </row>
    <row r="26" spans="1:65" s="561" customFormat="1" ht="15" customHeight="1">
      <c r="A26" s="1941"/>
      <c r="B26" s="1941"/>
      <c r="C26" s="566"/>
      <c r="D26" s="560"/>
      <c r="E26" s="1942" t="s">
        <v>20</v>
      </c>
      <c r="F26" s="1942"/>
      <c r="G26" s="1942"/>
      <c r="H26" s="84"/>
      <c r="I26" s="84"/>
      <c r="J26" s="84"/>
      <c r="K26" s="84"/>
      <c r="L26" s="84"/>
    </row>
    <row r="27" spans="1:65" s="561" customFormat="1" ht="15" customHeight="1">
      <c r="A27" s="863"/>
      <c r="B27" s="863"/>
      <c r="C27" s="863"/>
      <c r="D27" s="560"/>
      <c r="E27" s="864"/>
      <c r="F27" s="864"/>
      <c r="G27" s="864"/>
      <c r="H27" s="84"/>
      <c r="I27" s="84"/>
      <c r="J27" s="84"/>
      <c r="K27" s="84"/>
      <c r="L27" s="84"/>
    </row>
    <row r="28" spans="1:65" s="561" customFormat="1" ht="15" customHeight="1">
      <c r="A28" s="863"/>
      <c r="B28" s="863"/>
      <c r="C28" s="863"/>
      <c r="D28" s="560"/>
      <c r="E28" s="864"/>
      <c r="F28" s="864"/>
      <c r="G28" s="864"/>
      <c r="H28" s="84"/>
      <c r="I28" s="84"/>
      <c r="J28" s="84"/>
      <c r="K28" s="84"/>
      <c r="L28" s="84"/>
    </row>
    <row r="29" spans="1:65" s="561" customFormat="1" ht="15" customHeight="1">
      <c r="A29" s="863"/>
      <c r="B29" s="863"/>
      <c r="C29" s="863"/>
      <c r="D29" s="560"/>
      <c r="E29" s="864"/>
      <c r="F29" s="864"/>
      <c r="G29" s="864"/>
      <c r="H29" s="84"/>
      <c r="I29" s="84"/>
      <c r="J29" s="84"/>
      <c r="K29" s="84"/>
      <c r="L29" s="84"/>
    </row>
    <row r="30" spans="1:65" s="561" customFormat="1">
      <c r="A30" s="1940"/>
      <c r="B30" s="1940"/>
      <c r="C30" s="1940"/>
      <c r="D30" s="567"/>
      <c r="E30" s="568"/>
      <c r="F30" s="562"/>
      <c r="G30" s="569"/>
      <c r="H30" s="84"/>
      <c r="I30" s="84"/>
      <c r="J30" s="84"/>
      <c r="K30" s="84"/>
      <c r="L30" s="84"/>
    </row>
    <row r="31" spans="1:65" s="561" customFormat="1" ht="13" customHeight="1">
      <c r="D31" s="564"/>
      <c r="E31" s="1931" t="s">
        <v>747</v>
      </c>
      <c r="F31" s="1931"/>
      <c r="G31" s="1931"/>
      <c r="H31" s="77"/>
      <c r="I31" s="77"/>
      <c r="J31" s="77"/>
      <c r="K31" s="77"/>
      <c r="L31" s="77"/>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c r="BB31" s="555"/>
      <c r="BC31" s="555"/>
      <c r="BD31" s="555"/>
      <c r="BE31" s="555"/>
      <c r="BF31" s="555"/>
      <c r="BG31" s="555"/>
      <c r="BH31" s="555"/>
      <c r="BI31" s="555"/>
      <c r="BJ31" s="555"/>
      <c r="BK31" s="555"/>
      <c r="BL31" s="555"/>
      <c r="BM31" s="555"/>
    </row>
    <row r="32" spans="1:65">
      <c r="A32" s="59"/>
      <c r="B32" s="81"/>
      <c r="C32" s="81"/>
      <c r="D32" s="130"/>
      <c r="E32" s="81"/>
      <c r="F32" s="81"/>
      <c r="G32" s="77"/>
      <c r="H32" s="77"/>
      <c r="I32" s="77"/>
      <c r="J32" s="77"/>
      <c r="K32" s="77"/>
      <c r="L32" s="77"/>
    </row>
    <row r="33" spans="1:12" ht="96" customHeight="1">
      <c r="A33" s="1939" t="s">
        <v>953</v>
      </c>
      <c r="B33" s="1939"/>
      <c r="C33" s="1939"/>
      <c r="D33" s="1939"/>
      <c r="E33" s="1939"/>
      <c r="F33" s="1939"/>
      <c r="G33" s="77"/>
      <c r="H33" s="77"/>
      <c r="I33" s="77"/>
      <c r="J33" s="77"/>
      <c r="K33" s="77"/>
      <c r="L33" s="77"/>
    </row>
    <row r="34" spans="1:12">
      <c r="A34" s="59"/>
      <c r="B34" s="81"/>
      <c r="C34" s="81"/>
      <c r="D34" s="130"/>
      <c r="E34" s="81"/>
      <c r="F34" s="81"/>
      <c r="G34" s="77"/>
      <c r="H34" s="77"/>
      <c r="I34" s="77"/>
      <c r="J34" s="77"/>
      <c r="K34" s="77"/>
      <c r="L34" s="77"/>
    </row>
    <row r="35" spans="1:12" ht="13.5" customHeight="1">
      <c r="A35" s="59"/>
      <c r="B35" s="81"/>
      <c r="C35" s="81"/>
      <c r="D35" s="130"/>
      <c r="E35" s="81"/>
      <c r="F35" s="81"/>
      <c r="G35" s="77"/>
      <c r="H35" s="77"/>
      <c r="I35" s="77"/>
      <c r="J35" s="77"/>
      <c r="K35" s="77"/>
      <c r="L35" s="77"/>
    </row>
    <row r="36" spans="1:12">
      <c r="A36" s="59"/>
      <c r="B36" s="81"/>
      <c r="C36" s="81"/>
      <c r="D36" s="130"/>
      <c r="E36" s="81"/>
      <c r="F36" s="81"/>
      <c r="G36" s="77"/>
      <c r="H36" s="77"/>
      <c r="I36" s="77"/>
      <c r="J36" s="77"/>
      <c r="K36" s="77"/>
      <c r="L36" s="77"/>
    </row>
    <row r="37" spans="1:12">
      <c r="A37" s="59"/>
      <c r="B37" s="81"/>
      <c r="C37" s="81"/>
      <c r="D37" s="130"/>
      <c r="E37" s="81"/>
      <c r="F37" s="81"/>
      <c r="G37" s="77"/>
      <c r="H37" s="77"/>
      <c r="I37" s="77"/>
      <c r="J37" s="77"/>
      <c r="K37" s="77"/>
      <c r="L37" s="77"/>
    </row>
    <row r="38" spans="1:12">
      <c r="A38" s="59"/>
      <c r="B38" s="81"/>
      <c r="C38" s="81"/>
      <c r="D38" s="130"/>
      <c r="E38" s="81"/>
      <c r="F38" s="81"/>
      <c r="G38" s="77"/>
      <c r="H38" s="77"/>
      <c r="I38" s="77"/>
      <c r="J38" s="77"/>
      <c r="K38" s="77"/>
      <c r="L38" s="77"/>
    </row>
    <row r="39" spans="1:12">
      <c r="A39" s="59"/>
      <c r="B39" s="81"/>
      <c r="C39" s="81"/>
      <c r="D39" s="130"/>
      <c r="E39" s="81"/>
      <c r="F39" s="81"/>
      <c r="G39" s="77"/>
      <c r="H39" s="77"/>
      <c r="I39" s="77"/>
      <c r="J39" s="77"/>
      <c r="K39" s="77"/>
      <c r="L39" s="77"/>
    </row>
    <row r="40" spans="1:12">
      <c r="A40" s="59"/>
      <c r="B40" s="81"/>
      <c r="C40" s="81"/>
      <c r="D40" s="130"/>
      <c r="E40" s="81"/>
      <c r="F40" s="81"/>
      <c r="G40" s="77"/>
      <c r="H40" s="77"/>
      <c r="I40" s="77"/>
      <c r="J40" s="77"/>
      <c r="K40" s="77"/>
      <c r="L40" s="77"/>
    </row>
    <row r="41" spans="1:12">
      <c r="A41" s="59"/>
      <c r="B41" s="81"/>
      <c r="C41" s="81"/>
      <c r="D41" s="130"/>
      <c r="E41" s="81"/>
      <c r="F41" s="81"/>
      <c r="G41" s="77"/>
      <c r="H41" s="77"/>
      <c r="I41" s="77"/>
      <c r="J41" s="77"/>
      <c r="K41" s="77"/>
      <c r="L41" s="77"/>
    </row>
    <row r="42" spans="1:12">
      <c r="A42" s="59"/>
      <c r="B42" s="81"/>
      <c r="C42" s="81"/>
      <c r="D42" s="130"/>
      <c r="E42" s="81"/>
      <c r="F42" s="81"/>
      <c r="G42" s="77"/>
      <c r="H42" s="77"/>
      <c r="I42" s="77"/>
      <c r="J42" s="77"/>
      <c r="K42" s="77"/>
      <c r="L42" s="77"/>
    </row>
    <row r="43" spans="1:12">
      <c r="A43" s="59"/>
      <c r="B43" s="81"/>
      <c r="C43" s="81"/>
      <c r="D43" s="130"/>
      <c r="E43" s="81"/>
      <c r="F43" s="81"/>
      <c r="G43" s="77"/>
      <c r="H43" s="77"/>
      <c r="I43" s="77"/>
      <c r="J43" s="77"/>
      <c r="K43" s="77"/>
      <c r="L43" s="77"/>
    </row>
    <row r="44" spans="1:12">
      <c r="A44" s="59"/>
      <c r="B44" s="81"/>
      <c r="C44" s="81"/>
      <c r="D44" s="130"/>
      <c r="E44" s="81"/>
      <c r="F44" s="81"/>
      <c r="G44" s="77"/>
      <c r="H44" s="77"/>
      <c r="I44" s="77"/>
      <c r="J44" s="77"/>
      <c r="K44" s="77"/>
      <c r="L44" s="77"/>
    </row>
    <row r="45" spans="1:12">
      <c r="A45" s="59"/>
      <c r="B45" s="81"/>
      <c r="C45" s="81"/>
      <c r="D45" s="130"/>
      <c r="E45" s="81"/>
      <c r="F45" s="81"/>
      <c r="G45" s="77"/>
      <c r="H45" s="77"/>
      <c r="I45" s="77"/>
      <c r="J45" s="77"/>
      <c r="K45" s="77"/>
      <c r="L45" s="77"/>
    </row>
    <row r="46" spans="1:12">
      <c r="A46" s="59"/>
      <c r="B46" s="81"/>
      <c r="C46" s="81"/>
      <c r="D46" s="130"/>
      <c r="E46" s="81"/>
      <c r="F46" s="81"/>
      <c r="G46" s="77"/>
      <c r="H46" s="77"/>
      <c r="I46" s="77"/>
      <c r="J46" s="77"/>
      <c r="K46" s="77"/>
      <c r="L46" s="77"/>
    </row>
    <row r="47" spans="1:12">
      <c r="A47" s="59"/>
      <c r="B47" s="81"/>
      <c r="C47" s="81"/>
      <c r="D47" s="130"/>
      <c r="E47" s="81"/>
      <c r="F47" s="81"/>
      <c r="G47" s="77"/>
      <c r="H47" s="77"/>
      <c r="I47" s="77"/>
      <c r="J47" s="77"/>
      <c r="K47" s="77"/>
      <c r="L47" s="77"/>
    </row>
    <row r="48" spans="1:12">
      <c r="A48" s="59"/>
      <c r="B48" s="81"/>
      <c r="C48" s="81"/>
      <c r="D48" s="130"/>
      <c r="E48" s="81"/>
      <c r="F48" s="81"/>
      <c r="G48" s="77"/>
      <c r="H48" s="77"/>
      <c r="I48" s="77"/>
      <c r="J48" s="77"/>
      <c r="K48" s="77"/>
      <c r="L48" s="77"/>
    </row>
    <row r="49" spans="1:12">
      <c r="A49" s="59"/>
      <c r="B49" s="81"/>
      <c r="C49" s="81"/>
      <c r="D49" s="130"/>
      <c r="E49" s="81"/>
      <c r="F49" s="81"/>
      <c r="G49" s="77"/>
      <c r="H49" s="77"/>
      <c r="I49" s="77"/>
      <c r="J49" s="77"/>
      <c r="K49" s="77"/>
      <c r="L49" s="77"/>
    </row>
    <row r="50" spans="1:12">
      <c r="A50" s="59"/>
      <c r="B50" s="81"/>
      <c r="C50" s="81"/>
      <c r="D50" s="130"/>
      <c r="E50" s="81"/>
      <c r="F50" s="81"/>
      <c r="G50" s="77"/>
      <c r="H50" s="77"/>
      <c r="I50" s="77"/>
      <c r="J50" s="77"/>
      <c r="K50" s="77"/>
      <c r="L50" s="77"/>
    </row>
    <row r="51" spans="1:12">
      <c r="A51" s="59"/>
      <c r="B51" s="81"/>
      <c r="C51" s="81"/>
      <c r="D51" s="130"/>
      <c r="E51" s="81"/>
      <c r="F51" s="81"/>
      <c r="G51" s="77"/>
      <c r="H51" s="77"/>
      <c r="I51" s="77"/>
      <c r="J51" s="77"/>
      <c r="K51" s="77"/>
      <c r="L51" s="77"/>
    </row>
    <row r="52" spans="1:12">
      <c r="A52" s="59"/>
      <c r="B52" s="81"/>
      <c r="C52" s="81"/>
      <c r="D52" s="130"/>
      <c r="E52" s="81"/>
      <c r="F52" s="81"/>
      <c r="G52" s="77"/>
      <c r="H52" s="77"/>
      <c r="I52" s="77"/>
      <c r="J52" s="77"/>
      <c r="K52" s="77"/>
      <c r="L52" s="77"/>
    </row>
    <row r="53" spans="1:12">
      <c r="A53" s="59"/>
      <c r="B53" s="81"/>
      <c r="C53" s="81"/>
      <c r="D53" s="130"/>
      <c r="E53" s="81"/>
      <c r="F53" s="81"/>
      <c r="G53" s="77"/>
      <c r="H53" s="77"/>
      <c r="I53" s="77"/>
      <c r="J53" s="77"/>
      <c r="K53" s="77"/>
      <c r="L53" s="77"/>
    </row>
    <row r="54" spans="1:12">
      <c r="A54" s="59"/>
      <c r="B54" s="81"/>
      <c r="C54" s="81"/>
      <c r="D54" s="130"/>
      <c r="E54" s="81"/>
      <c r="F54" s="81"/>
      <c r="G54" s="77"/>
      <c r="H54" s="77"/>
      <c r="I54" s="77"/>
      <c r="J54" s="77"/>
      <c r="K54" s="77"/>
      <c r="L54" s="77"/>
    </row>
    <row r="55" spans="1:12">
      <c r="A55" s="59"/>
      <c r="B55" s="81"/>
      <c r="C55" s="81"/>
      <c r="D55" s="130"/>
      <c r="E55" s="81"/>
      <c r="F55" s="81"/>
      <c r="G55" s="77"/>
      <c r="H55" s="77"/>
      <c r="I55" s="77"/>
      <c r="J55" s="77"/>
      <c r="K55" s="77"/>
      <c r="L55" s="77"/>
    </row>
    <row r="56" spans="1:12">
      <c r="A56" s="59"/>
      <c r="B56" s="81"/>
      <c r="C56" s="81"/>
      <c r="D56" s="130"/>
      <c r="E56" s="81"/>
      <c r="F56" s="81"/>
      <c r="G56" s="77"/>
      <c r="H56" s="77"/>
      <c r="I56" s="77"/>
      <c r="J56" s="77"/>
      <c r="K56" s="77"/>
      <c r="L56" s="77"/>
    </row>
    <row r="57" spans="1:12">
      <c r="A57" s="59"/>
      <c r="B57" s="81"/>
      <c r="C57" s="81"/>
      <c r="D57" s="130"/>
      <c r="E57" s="81"/>
      <c r="F57" s="81"/>
      <c r="G57" s="77"/>
    </row>
  </sheetData>
  <mergeCells count="12">
    <mergeCell ref="A33:F33"/>
    <mergeCell ref="A1:B1"/>
    <mergeCell ref="A2:B2"/>
    <mergeCell ref="C2:G2"/>
    <mergeCell ref="A30:C30"/>
    <mergeCell ref="A26:B26"/>
    <mergeCell ref="A3:G3"/>
    <mergeCell ref="B24:C24"/>
    <mergeCell ref="A23:B23"/>
    <mergeCell ref="E25:G25"/>
    <mergeCell ref="E26:G26"/>
    <mergeCell ref="E31:G31"/>
  </mergeCells>
  <pageMargins left="0.83" right="0.33" top="0.64" bottom="0.49" header="0.74" footer="0.21"/>
  <pageSetup paperSize="9" scale="88" orientation="portrait" r:id="rId1"/>
  <colBreaks count="1" manualBreakCount="1">
    <brk id="7" max="3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90"/>
  <sheetViews>
    <sheetView tabSelected="1" view="pageBreakPreview" zoomScale="115" zoomScaleNormal="106" zoomScaleSheetLayoutView="115" zoomScalePageLayoutView="106" workbookViewId="0">
      <pane xSplit="2" ySplit="5" topLeftCell="C30" activePane="bottomRight" state="frozen"/>
      <selection pane="topRight" activeCell="C1" sqref="C1"/>
      <selection pane="bottomLeft" activeCell="A8" sqref="A8"/>
      <selection pane="bottomRight" activeCell="E33" sqref="E33"/>
    </sheetView>
  </sheetViews>
  <sheetFormatPr baseColWidth="10" defaultColWidth="9.1640625" defaultRowHeight="13"/>
  <cols>
    <col min="1" max="1" width="5.1640625" style="60" customWidth="1"/>
    <col min="2" max="2" width="30.83203125" style="82" customWidth="1"/>
    <col min="3" max="3" width="9.83203125" style="82" customWidth="1"/>
    <col min="4" max="4" width="9.5" style="82" customWidth="1"/>
    <col min="5" max="5" width="36.6640625" style="78" customWidth="1"/>
    <col min="6" max="16384" width="9.1640625" style="78"/>
  </cols>
  <sheetData>
    <row r="1" spans="1:5" ht="14.25" customHeight="1">
      <c r="A1" s="1936" t="s">
        <v>135</v>
      </c>
      <c r="B1" s="1936"/>
      <c r="C1" s="74"/>
      <c r="D1" s="74"/>
      <c r="E1" s="29" t="s">
        <v>33</v>
      </c>
    </row>
    <row r="2" spans="1:5" ht="14.25" customHeight="1">
      <c r="A2" s="1947" t="s">
        <v>549</v>
      </c>
      <c r="B2" s="1947"/>
      <c r="C2" s="87"/>
      <c r="D2" s="87"/>
      <c r="E2" s="87"/>
    </row>
    <row r="3" spans="1:5" ht="28.5" customHeight="1">
      <c r="A3" s="1844" t="s">
        <v>890</v>
      </c>
      <c r="B3" s="1844"/>
      <c r="C3" s="1844"/>
      <c r="D3" s="1844"/>
      <c r="E3" s="1844"/>
    </row>
    <row r="4" spans="1:5">
      <c r="A4" s="90"/>
      <c r="B4" s="90"/>
      <c r="C4" s="90"/>
      <c r="D4" s="90"/>
      <c r="E4" s="75"/>
    </row>
    <row r="5" spans="1:5" ht="36.75" customHeight="1">
      <c r="A5" s="160" t="s">
        <v>0</v>
      </c>
      <c r="B5" s="160" t="s">
        <v>8</v>
      </c>
      <c r="C5" s="160" t="s">
        <v>34</v>
      </c>
      <c r="D5" s="160" t="s">
        <v>9</v>
      </c>
      <c r="E5" s="160" t="s">
        <v>68</v>
      </c>
    </row>
    <row r="6" spans="1:5" s="88" customFormat="1" ht="28.5" customHeight="1">
      <c r="A6" s="955"/>
      <c r="B6" s="1053" t="s">
        <v>1639</v>
      </c>
      <c r="C6" s="955"/>
      <c r="D6" s="955"/>
      <c r="E6" s="955"/>
    </row>
    <row r="7" spans="1:5" s="83" customFormat="1" ht="18.75" customHeight="1">
      <c r="A7" s="955"/>
      <c r="B7" s="1053" t="s">
        <v>340</v>
      </c>
      <c r="C7" s="955"/>
      <c r="D7" s="955"/>
      <c r="E7" s="955"/>
    </row>
    <row r="8" spans="1:5" s="83" customFormat="1" ht="18.75" customHeight="1">
      <c r="A8" s="955"/>
      <c r="B8" s="1053" t="s">
        <v>1640</v>
      </c>
      <c r="C8" s="955"/>
      <c r="D8" s="955"/>
      <c r="E8" s="955"/>
    </row>
    <row r="9" spans="1:5" s="83" customFormat="1" ht="21.75" customHeight="1">
      <c r="A9" s="955"/>
      <c r="B9" s="1054" t="s">
        <v>1594</v>
      </c>
      <c r="C9" s="955"/>
      <c r="D9" s="955"/>
      <c r="E9" s="955"/>
    </row>
    <row r="10" spans="1:5" s="83" customFormat="1" ht="21.75" customHeight="1">
      <c r="A10" s="955"/>
      <c r="B10" s="1054" t="s">
        <v>1450</v>
      </c>
      <c r="C10" s="955"/>
      <c r="D10" s="955"/>
      <c r="E10" s="955"/>
    </row>
    <row r="11" spans="1:5" s="83" customFormat="1" ht="21.75" customHeight="1">
      <c r="A11" s="1810"/>
      <c r="B11" s="1811" t="s">
        <v>1641</v>
      </c>
      <c r="C11" s="1810"/>
      <c r="D11" s="1810"/>
      <c r="E11" s="1810"/>
    </row>
    <row r="12" spans="1:5" s="83" customFormat="1" ht="18.75" customHeight="1">
      <c r="A12" s="955"/>
      <c r="B12" s="1055" t="s">
        <v>1449</v>
      </c>
      <c r="C12" s="955"/>
      <c r="D12" s="955"/>
      <c r="E12" s="955"/>
    </row>
    <row r="13" spans="1:5" s="83" customFormat="1" ht="18.75" customHeight="1">
      <c r="A13" s="955"/>
      <c r="B13" s="1056" t="s">
        <v>1448</v>
      </c>
      <c r="C13" s="955"/>
      <c r="D13" s="955"/>
      <c r="E13" s="955"/>
    </row>
    <row r="14" spans="1:5" s="83" customFormat="1" ht="25.5" customHeight="1">
      <c r="A14" s="955" t="s">
        <v>6</v>
      </c>
      <c r="B14" s="956" t="s">
        <v>171</v>
      </c>
      <c r="C14" s="955"/>
      <c r="D14" s="955"/>
      <c r="E14" s="955"/>
    </row>
    <row r="15" spans="1:5" s="83" customFormat="1" ht="21" customHeight="1">
      <c r="A15" s="960">
        <v>1</v>
      </c>
      <c r="B15" s="1054" t="s">
        <v>354</v>
      </c>
      <c r="C15" s="955"/>
      <c r="D15" s="955"/>
      <c r="E15" s="1057"/>
    </row>
    <row r="16" spans="1:5" s="83" customFormat="1" ht="18.75" customHeight="1">
      <c r="A16" s="960">
        <v>2</v>
      </c>
      <c r="B16" s="1054" t="s">
        <v>355</v>
      </c>
      <c r="C16" s="955"/>
      <c r="D16" s="955"/>
      <c r="E16" s="1057"/>
    </row>
    <row r="17" spans="1:5" s="80" customFormat="1" ht="15.75" customHeight="1">
      <c r="A17" s="1058" t="s">
        <v>6</v>
      </c>
      <c r="B17" s="1059" t="s">
        <v>356</v>
      </c>
      <c r="C17" s="1058"/>
      <c r="D17" s="1058"/>
      <c r="E17" s="1060"/>
    </row>
    <row r="18" spans="1:5" s="80" customFormat="1" ht="15.75" customHeight="1">
      <c r="A18" s="1061"/>
      <c r="B18" s="1062" t="s">
        <v>940</v>
      </c>
      <c r="C18" s="1061"/>
      <c r="D18" s="1061"/>
      <c r="E18" s="1063"/>
    </row>
    <row r="19" spans="1:5" s="80" customFormat="1" ht="15.75" customHeight="1">
      <c r="A19" s="1061"/>
      <c r="B19" s="1062" t="s">
        <v>836</v>
      </c>
      <c r="C19" s="1061"/>
      <c r="D19" s="1061"/>
      <c r="E19" s="1063"/>
    </row>
    <row r="20" spans="1:5" s="80" customFormat="1" ht="28" customHeight="1">
      <c r="A20" s="1061"/>
      <c r="B20" s="1062" t="s">
        <v>325</v>
      </c>
      <c r="C20" s="1061" t="s">
        <v>329</v>
      </c>
      <c r="D20" s="1061" t="s">
        <v>358</v>
      </c>
      <c r="E20" s="1064" t="s">
        <v>837</v>
      </c>
    </row>
    <row r="21" spans="1:5" s="80" customFormat="1" ht="15.75" customHeight="1">
      <c r="A21" s="1061"/>
      <c r="B21" s="1062" t="s">
        <v>360</v>
      </c>
      <c r="C21" s="1061"/>
      <c r="D21" s="1061"/>
      <c r="E21" s="1065"/>
    </row>
    <row r="22" spans="1:5" s="80" customFormat="1" ht="14">
      <c r="A22" s="1061"/>
      <c r="B22" s="1062" t="s">
        <v>1440</v>
      </c>
      <c r="C22" s="1061"/>
      <c r="D22" s="1061"/>
      <c r="E22" s="871"/>
    </row>
    <row r="23" spans="1:5" s="80" customFormat="1" ht="15.75" customHeight="1">
      <c r="A23" s="865" t="s">
        <v>7</v>
      </c>
      <c r="B23" s="1066" t="s">
        <v>359</v>
      </c>
      <c r="C23" s="865"/>
      <c r="D23" s="865"/>
      <c r="E23" s="1067"/>
    </row>
    <row r="24" spans="1:5" s="80" customFormat="1" ht="31" customHeight="1">
      <c r="A24" s="1068">
        <v>1</v>
      </c>
      <c r="B24" s="1069" t="s">
        <v>944</v>
      </c>
      <c r="C24" s="1068"/>
      <c r="D24" s="1068"/>
      <c r="E24" s="1064"/>
    </row>
    <row r="25" spans="1:5" s="80" customFormat="1" ht="15.75" customHeight="1">
      <c r="A25" s="1068"/>
      <c r="B25" s="1070" t="s">
        <v>915</v>
      </c>
      <c r="C25" s="1068"/>
      <c r="D25" s="1068"/>
      <c r="E25" s="1064"/>
    </row>
    <row r="26" spans="1:5" s="80" customFormat="1" ht="25" customHeight="1">
      <c r="A26" s="1068">
        <v>2.1</v>
      </c>
      <c r="B26" s="1069" t="s">
        <v>887</v>
      </c>
      <c r="C26" s="1071"/>
      <c r="D26" s="1071" t="s">
        <v>358</v>
      </c>
      <c r="E26" s="1072" t="s">
        <v>1615</v>
      </c>
    </row>
    <row r="27" spans="1:5" s="80" customFormat="1" ht="15.75" customHeight="1">
      <c r="A27" s="1068"/>
      <c r="B27" s="1070" t="s">
        <v>852</v>
      </c>
      <c r="C27" s="1068"/>
      <c r="D27" s="1068"/>
      <c r="E27" s="1064"/>
    </row>
    <row r="28" spans="1:5" s="80" customFormat="1" ht="16.5" customHeight="1">
      <c r="A28" s="1758">
        <v>3</v>
      </c>
      <c r="B28" s="1759" t="s">
        <v>851</v>
      </c>
      <c r="C28" s="1758"/>
      <c r="D28" s="1756"/>
      <c r="E28" s="1756"/>
    </row>
    <row r="29" spans="1:5" s="80" customFormat="1" ht="26.25" customHeight="1">
      <c r="A29" s="1758">
        <v>3.1</v>
      </c>
      <c r="B29" s="1759" t="s">
        <v>1612</v>
      </c>
      <c r="C29" s="1758"/>
      <c r="D29" s="1068" t="s">
        <v>358</v>
      </c>
      <c r="E29" s="1072" t="s">
        <v>1614</v>
      </c>
    </row>
    <row r="30" spans="1:5" s="80" customFormat="1" ht="21" customHeight="1">
      <c r="A30" s="865" t="s">
        <v>24</v>
      </c>
      <c r="B30" s="1066" t="s">
        <v>292</v>
      </c>
      <c r="C30" s="1068"/>
      <c r="D30" s="1068"/>
      <c r="E30" s="1064"/>
    </row>
    <row r="31" spans="1:5" s="80" customFormat="1" ht="32" customHeight="1">
      <c r="A31" s="1071">
        <v>1</v>
      </c>
      <c r="B31" s="1070" t="s">
        <v>886</v>
      </c>
      <c r="C31" s="1068"/>
      <c r="D31" s="1068"/>
      <c r="E31" s="1064"/>
    </row>
    <row r="32" spans="1:5" s="80" customFormat="1" ht="27" customHeight="1">
      <c r="A32" s="1071">
        <v>2</v>
      </c>
      <c r="B32" s="1070" t="s">
        <v>360</v>
      </c>
      <c r="C32" s="1068"/>
      <c r="D32" s="1068"/>
      <c r="E32" s="1064"/>
    </row>
    <row r="33" spans="1:5" s="80" customFormat="1" ht="22" customHeight="1">
      <c r="A33" s="1071" t="s">
        <v>129</v>
      </c>
      <c r="B33" s="1070" t="s">
        <v>852</v>
      </c>
      <c r="C33" s="1068"/>
      <c r="D33" s="1068"/>
      <c r="E33" s="1064"/>
    </row>
    <row r="34" spans="1:5" s="80" customFormat="1" ht="35" customHeight="1">
      <c r="A34" s="1071">
        <v>3</v>
      </c>
      <c r="B34" s="1069" t="s">
        <v>950</v>
      </c>
      <c r="C34" s="1071"/>
      <c r="D34" s="1071" t="s">
        <v>361</v>
      </c>
      <c r="E34" s="1064"/>
    </row>
    <row r="35" spans="1:5" s="80" customFormat="1" ht="35" customHeight="1">
      <c r="A35" s="1071">
        <v>4.0999999999999996</v>
      </c>
      <c r="B35" s="1069" t="s">
        <v>947</v>
      </c>
      <c r="C35" s="1071"/>
      <c r="D35" s="1071"/>
      <c r="E35" s="1072" t="s">
        <v>1655</v>
      </c>
    </row>
    <row r="36" spans="1:5" s="80" customFormat="1" ht="56" customHeight="1">
      <c r="A36" s="1071" t="s">
        <v>946</v>
      </c>
      <c r="B36" s="1069" t="s">
        <v>945</v>
      </c>
      <c r="C36" s="1071"/>
      <c r="D36" s="1071"/>
      <c r="E36" s="1072" t="s">
        <v>1656</v>
      </c>
    </row>
    <row r="37" spans="1:5" s="80" customFormat="1" ht="48" customHeight="1">
      <c r="A37" s="1071" t="s">
        <v>948</v>
      </c>
      <c r="B37" s="1069" t="s">
        <v>949</v>
      </c>
      <c r="C37" s="1071"/>
      <c r="D37" s="1071"/>
      <c r="E37" s="1072" t="s">
        <v>1605</v>
      </c>
    </row>
    <row r="38" spans="1:5" s="80" customFormat="1" ht="15.75" customHeight="1">
      <c r="A38" s="865" t="s">
        <v>35</v>
      </c>
      <c r="B38" s="1066" t="s">
        <v>362</v>
      </c>
      <c r="C38" s="1068"/>
      <c r="D38" s="1068"/>
      <c r="E38" s="1064"/>
    </row>
    <row r="39" spans="1:5" s="80" customFormat="1" ht="15.75" customHeight="1">
      <c r="A39" s="1071">
        <v>1</v>
      </c>
      <c r="B39" s="1069" t="s">
        <v>1642</v>
      </c>
      <c r="C39" s="1071"/>
      <c r="D39" s="1071"/>
      <c r="E39" s="1072"/>
    </row>
    <row r="40" spans="1:5" s="80" customFormat="1" ht="21" customHeight="1">
      <c r="A40" s="1071">
        <v>2</v>
      </c>
      <c r="B40" s="1069" t="s">
        <v>889</v>
      </c>
      <c r="C40" s="1071"/>
      <c r="D40" s="1071"/>
      <c r="E40" s="1072"/>
    </row>
    <row r="41" spans="1:5" s="80" customFormat="1" ht="25.5" customHeight="1">
      <c r="A41" s="1071" t="s">
        <v>129</v>
      </c>
      <c r="B41" s="1069" t="s">
        <v>339</v>
      </c>
      <c r="C41" s="1071"/>
      <c r="D41" s="1071" t="s">
        <v>358</v>
      </c>
      <c r="E41" s="1072" t="s">
        <v>1619</v>
      </c>
    </row>
    <row r="42" spans="1:5" s="80" customFormat="1" ht="25.5" customHeight="1">
      <c r="A42" s="1071">
        <v>3</v>
      </c>
      <c r="B42" s="1069" t="s">
        <v>360</v>
      </c>
      <c r="C42" s="1071"/>
      <c r="D42" s="1071"/>
      <c r="E42" s="1072"/>
    </row>
    <row r="43" spans="1:5" s="80" customFormat="1" ht="44" customHeight="1">
      <c r="A43" s="1071">
        <v>4</v>
      </c>
      <c r="B43" s="1069" t="s">
        <v>950</v>
      </c>
      <c r="C43" s="1071"/>
      <c r="D43" s="1071"/>
      <c r="E43" s="1072" t="s">
        <v>1613</v>
      </c>
    </row>
    <row r="44" spans="1:5" s="80" customFormat="1" ht="15.75" customHeight="1">
      <c r="A44" s="1073" t="s">
        <v>39</v>
      </c>
      <c r="B44" s="1066" t="s">
        <v>363</v>
      </c>
      <c r="C44" s="1068"/>
      <c r="D44" s="1068"/>
      <c r="E44" s="1064"/>
    </row>
    <row r="45" spans="1:5" s="80" customFormat="1" ht="22" customHeight="1">
      <c r="A45" s="1074">
        <v>1</v>
      </c>
      <c r="B45" s="1070" t="s">
        <v>357</v>
      </c>
      <c r="C45" s="1068"/>
      <c r="D45" s="1068"/>
      <c r="E45" s="1064"/>
    </row>
    <row r="46" spans="1:5" s="80" customFormat="1" ht="15.75" customHeight="1">
      <c r="A46" s="1074">
        <v>2</v>
      </c>
      <c r="B46" s="1070" t="s">
        <v>360</v>
      </c>
      <c r="C46" s="1075"/>
      <c r="D46" s="1075"/>
      <c r="E46" s="1075"/>
    </row>
    <row r="47" spans="1:5" s="80" customFormat="1" ht="59" customHeight="1">
      <c r="A47" s="1076">
        <v>3</v>
      </c>
      <c r="B47" s="1077" t="s">
        <v>951</v>
      </c>
      <c r="C47" s="1078"/>
      <c r="D47" s="1078"/>
      <c r="E47" s="1079" t="s">
        <v>1604</v>
      </c>
    </row>
    <row r="48" spans="1:5" s="80" customFormat="1" ht="14">
      <c r="A48" s="1049" t="s">
        <v>563</v>
      </c>
      <c r="B48" s="1080" t="s">
        <v>482</v>
      </c>
      <c r="C48" s="846"/>
      <c r="D48" s="846"/>
      <c r="E48" s="871"/>
    </row>
    <row r="49" spans="1:6" s="80" customFormat="1" ht="27" customHeight="1">
      <c r="A49" s="846">
        <v>1</v>
      </c>
      <c r="B49" s="1079" t="s">
        <v>941</v>
      </c>
      <c r="C49" s="846"/>
      <c r="D49" s="846"/>
      <c r="E49" s="1079" t="s">
        <v>735</v>
      </c>
    </row>
    <row r="50" spans="1:6" s="80" customFormat="1" ht="73" customHeight="1">
      <c r="A50" s="846">
        <v>2</v>
      </c>
      <c r="B50" s="1079" t="s">
        <v>1595</v>
      </c>
      <c r="C50" s="846"/>
      <c r="D50" s="846"/>
      <c r="E50" s="1079" t="s">
        <v>736</v>
      </c>
    </row>
    <row r="51" spans="1:6" s="80" customFormat="1" ht="14">
      <c r="A51" s="846">
        <v>3</v>
      </c>
      <c r="B51" s="1753" t="s">
        <v>1599</v>
      </c>
      <c r="C51" s="846"/>
      <c r="D51" s="846"/>
      <c r="E51" s="1753" t="s">
        <v>1598</v>
      </c>
    </row>
    <row r="52" spans="1:6" s="80" customFormat="1" ht="28">
      <c r="A52" s="1752">
        <v>4</v>
      </c>
      <c r="B52" s="1753" t="s">
        <v>1597</v>
      </c>
      <c r="C52" s="1752"/>
      <c r="D52" s="1752"/>
      <c r="E52" s="1753" t="s">
        <v>1596</v>
      </c>
    </row>
    <row r="53" spans="1:6" s="80" customFormat="1" ht="56">
      <c r="A53" s="1752">
        <v>5</v>
      </c>
      <c r="B53" s="1753" t="s">
        <v>1606</v>
      </c>
      <c r="C53" s="1752"/>
      <c r="D53" s="1752"/>
      <c r="E53" s="1753" t="s">
        <v>1607</v>
      </c>
    </row>
    <row r="54" spans="1:6" s="80" customFormat="1" ht="28">
      <c r="A54" s="1752">
        <v>6</v>
      </c>
      <c r="B54" s="1754" t="s">
        <v>1601</v>
      </c>
      <c r="C54" s="1752"/>
      <c r="D54" s="1752"/>
      <c r="E54" s="1753" t="s">
        <v>1600</v>
      </c>
    </row>
    <row r="55" spans="1:6" s="80" customFormat="1" ht="70">
      <c r="A55" s="1752">
        <v>7</v>
      </c>
      <c r="B55" s="1753" t="s">
        <v>1610</v>
      </c>
      <c r="C55" s="1757" t="s">
        <v>1609</v>
      </c>
      <c r="D55" s="1756"/>
      <c r="E55" s="81" t="s">
        <v>1611</v>
      </c>
    </row>
    <row r="56" spans="1:6" s="80" customFormat="1" ht="24.75" customHeight="1">
      <c r="A56" s="1752">
        <v>8</v>
      </c>
      <c r="B56" s="1754" t="s">
        <v>1601</v>
      </c>
      <c r="C56" s="1752"/>
      <c r="D56" s="1752"/>
      <c r="E56" s="1753" t="s">
        <v>1602</v>
      </c>
    </row>
    <row r="57" spans="1:6" s="80" customFormat="1" ht="42">
      <c r="A57" s="1752">
        <v>9</v>
      </c>
      <c r="B57" s="1754" t="s">
        <v>1608</v>
      </c>
      <c r="C57" s="1752"/>
      <c r="D57" s="1752"/>
      <c r="E57" s="1753" t="s">
        <v>1603</v>
      </c>
    </row>
    <row r="58" spans="1:6" s="80" customFormat="1" ht="70">
      <c r="A58" s="1801">
        <v>10</v>
      </c>
      <c r="B58" s="1799" t="s">
        <v>1631</v>
      </c>
      <c r="C58" s="1800"/>
      <c r="D58" s="1800"/>
      <c r="E58" s="1799" t="s">
        <v>1632</v>
      </c>
    </row>
    <row r="59" spans="1:6" s="80" customFormat="1" ht="37" customHeight="1">
      <c r="A59" s="1752"/>
      <c r="B59" s="1755" t="s">
        <v>1633</v>
      </c>
      <c r="C59" s="1752"/>
      <c r="D59" s="1752"/>
      <c r="E59" s="1756"/>
    </row>
    <row r="60" spans="1:6" s="80" customFormat="1" ht="29.25" customHeight="1">
      <c r="A60" s="1752"/>
      <c r="B60" s="1948" t="s">
        <v>1634</v>
      </c>
      <c r="C60" s="1948"/>
      <c r="D60" s="1948"/>
      <c r="E60" s="1948"/>
    </row>
    <row r="61" spans="1:6" ht="18.75" customHeight="1">
      <c r="A61" s="58"/>
      <c r="B61" s="73"/>
      <c r="C61" s="73"/>
      <c r="D61" s="73"/>
      <c r="E61" s="89" t="s">
        <v>929</v>
      </c>
    </row>
    <row r="62" spans="1:6" ht="13.5" customHeight="1">
      <c r="A62" s="58"/>
      <c r="B62" s="74"/>
      <c r="C62" s="73"/>
      <c r="D62" s="73"/>
      <c r="E62" s="40" t="s">
        <v>20</v>
      </c>
    </row>
    <row r="63" spans="1:6" ht="71.25" customHeight="1">
      <c r="A63" s="1946" t="s">
        <v>77</v>
      </c>
      <c r="B63" s="1946"/>
      <c r="C63" s="1946"/>
      <c r="D63" s="1946"/>
      <c r="E63" s="40"/>
    </row>
    <row r="64" spans="1:6" ht="14">
      <c r="A64" s="58"/>
      <c r="B64" s="73"/>
      <c r="C64" s="73"/>
      <c r="D64" s="73"/>
      <c r="E64" s="163" t="s">
        <v>747</v>
      </c>
      <c r="F64" s="74"/>
    </row>
    <row r="65" spans="1:5">
      <c r="A65" s="58"/>
      <c r="B65" s="73"/>
      <c r="C65" s="73"/>
      <c r="D65" s="73"/>
      <c r="E65" s="76"/>
    </row>
    <row r="66" spans="1:5">
      <c r="A66" s="58"/>
      <c r="B66" s="73"/>
      <c r="C66" s="73"/>
      <c r="D66" s="73"/>
      <c r="E66" s="76"/>
    </row>
    <row r="67" spans="1:5">
      <c r="A67" s="58"/>
      <c r="B67" s="73"/>
      <c r="C67" s="73"/>
      <c r="D67" s="73"/>
      <c r="E67" s="76"/>
    </row>
    <row r="68" spans="1:5" ht="13.5" customHeight="1">
      <c r="A68" s="58"/>
      <c r="B68" s="73"/>
      <c r="C68" s="73"/>
      <c r="D68" s="73"/>
      <c r="E68" s="76"/>
    </row>
    <row r="69" spans="1:5">
      <c r="A69" s="58"/>
      <c r="B69" s="73"/>
      <c r="C69" s="73"/>
      <c r="D69" s="73"/>
      <c r="E69" s="76"/>
    </row>
    <row r="70" spans="1:5">
      <c r="A70" s="58"/>
      <c r="B70" s="73"/>
      <c r="C70" s="73"/>
      <c r="D70" s="73"/>
      <c r="E70" s="76"/>
    </row>
    <row r="71" spans="1:5">
      <c r="A71" s="58"/>
      <c r="B71" s="73"/>
      <c r="C71" s="73"/>
      <c r="D71" s="73"/>
      <c r="E71" s="76"/>
    </row>
    <row r="72" spans="1:5">
      <c r="A72" s="58"/>
      <c r="B72" s="73"/>
      <c r="C72" s="73"/>
      <c r="D72" s="73"/>
      <c r="E72" s="76"/>
    </row>
    <row r="73" spans="1:5">
      <c r="A73" s="58"/>
      <c r="B73" s="73"/>
      <c r="C73" s="73"/>
      <c r="D73" s="73"/>
      <c r="E73" s="76"/>
    </row>
    <row r="74" spans="1:5">
      <c r="A74" s="58"/>
      <c r="B74" s="73"/>
      <c r="C74" s="73"/>
      <c r="D74" s="73"/>
      <c r="E74" s="76"/>
    </row>
    <row r="75" spans="1:5">
      <c r="A75" s="58"/>
      <c r="B75" s="73"/>
      <c r="C75" s="73"/>
      <c r="D75" s="73"/>
      <c r="E75" s="76"/>
    </row>
    <row r="76" spans="1:5">
      <c r="A76" s="58"/>
      <c r="B76" s="73"/>
      <c r="C76" s="73"/>
      <c r="D76" s="73"/>
      <c r="E76" s="76"/>
    </row>
    <row r="77" spans="1:5">
      <c r="A77" s="58"/>
      <c r="B77" s="73"/>
      <c r="C77" s="73"/>
      <c r="D77" s="73"/>
      <c r="E77" s="76"/>
    </row>
    <row r="78" spans="1:5">
      <c r="A78" s="58"/>
      <c r="B78" s="73"/>
      <c r="C78" s="73"/>
      <c r="D78" s="73"/>
      <c r="E78" s="76"/>
    </row>
    <row r="79" spans="1:5">
      <c r="A79" s="58"/>
      <c r="B79" s="73"/>
      <c r="C79" s="73"/>
      <c r="D79" s="73"/>
      <c r="E79" s="76"/>
    </row>
    <row r="80" spans="1:5">
      <c r="A80" s="58"/>
      <c r="B80" s="73"/>
      <c r="C80" s="73"/>
      <c r="D80" s="73"/>
      <c r="E80" s="76"/>
    </row>
    <row r="81" spans="1:5">
      <c r="A81" s="58"/>
      <c r="B81" s="73"/>
      <c r="C81" s="73"/>
      <c r="D81" s="73"/>
      <c r="E81" s="76"/>
    </row>
    <row r="82" spans="1:5">
      <c r="A82" s="58"/>
      <c r="B82" s="73"/>
      <c r="C82" s="73"/>
      <c r="D82" s="73"/>
      <c r="E82" s="76"/>
    </row>
    <row r="83" spans="1:5">
      <c r="A83" s="58"/>
      <c r="B83" s="73"/>
      <c r="C83" s="73"/>
      <c r="D83" s="73"/>
      <c r="E83" s="76"/>
    </row>
    <row r="84" spans="1:5">
      <c r="A84" s="58"/>
      <c r="B84" s="73"/>
      <c r="C84" s="73"/>
      <c r="D84" s="73"/>
      <c r="E84" s="76"/>
    </row>
    <row r="85" spans="1:5">
      <c r="A85" s="58"/>
      <c r="B85" s="73"/>
      <c r="C85" s="73"/>
      <c r="D85" s="73"/>
      <c r="E85" s="76"/>
    </row>
    <row r="86" spans="1:5">
      <c r="A86" s="58"/>
      <c r="B86" s="73"/>
      <c r="C86" s="73"/>
      <c r="D86" s="73"/>
      <c r="E86" s="76"/>
    </row>
    <row r="87" spans="1:5">
      <c r="A87" s="58"/>
      <c r="B87" s="73"/>
      <c r="C87" s="73"/>
      <c r="D87" s="73"/>
      <c r="E87" s="76"/>
    </row>
    <row r="88" spans="1:5">
      <c r="A88" s="58"/>
      <c r="B88" s="73"/>
      <c r="C88" s="73"/>
      <c r="D88" s="73"/>
      <c r="E88" s="76"/>
    </row>
    <row r="89" spans="1:5">
      <c r="A89" s="58"/>
      <c r="B89" s="73"/>
      <c r="C89" s="73"/>
      <c r="D89" s="73"/>
      <c r="E89" s="76"/>
    </row>
    <row r="90" spans="1:5">
      <c r="A90" s="59"/>
      <c r="B90" s="81"/>
      <c r="C90" s="81"/>
      <c r="D90" s="81"/>
      <c r="E90" s="77"/>
    </row>
  </sheetData>
  <mergeCells count="5">
    <mergeCell ref="A3:E3"/>
    <mergeCell ref="A63:D63"/>
    <mergeCell ref="A1:B1"/>
    <mergeCell ref="A2:B2"/>
    <mergeCell ref="B60:E60"/>
  </mergeCells>
  <pageMargins left="0.61" right="0.33" top="0.62" bottom="0.59" header="0.51" footer="0.56999999999999995"/>
  <pageSetup paperSize="9" scale="7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44"/>
  <sheetViews>
    <sheetView view="pageBreakPreview" topLeftCell="B33" zoomScale="170" zoomScaleNormal="100" zoomScaleSheetLayoutView="170" workbookViewId="0">
      <selection activeCell="B40" sqref="B40"/>
    </sheetView>
  </sheetViews>
  <sheetFormatPr baseColWidth="10" defaultColWidth="9.1640625" defaultRowHeight="13"/>
  <cols>
    <col min="1" max="1" width="5.6640625" style="6" customWidth="1"/>
    <col min="2" max="2" width="47" style="6" customWidth="1"/>
    <col min="3" max="3" width="21.1640625" style="6" customWidth="1"/>
    <col min="4" max="4" width="12.1640625" style="59" customWidth="1"/>
    <col min="5" max="5" width="12.1640625" style="6" customWidth="1"/>
    <col min="6" max="16384" width="9.1640625" style="6"/>
  </cols>
  <sheetData>
    <row r="1" spans="1:5" ht="20" customHeight="1">
      <c r="A1" s="1827" t="s">
        <v>135</v>
      </c>
      <c r="B1" s="370"/>
      <c r="C1" s="370"/>
      <c r="D1" s="1665"/>
      <c r="E1" s="622" t="s">
        <v>237</v>
      </c>
    </row>
    <row r="2" spans="1:5" ht="20" customHeight="1">
      <c r="A2" s="371" t="s">
        <v>546</v>
      </c>
      <c r="B2" s="370"/>
      <c r="C2" s="370"/>
      <c r="D2" s="684" t="s">
        <v>515</v>
      </c>
    </row>
    <row r="3" spans="1:5" ht="20" customHeight="1">
      <c r="A3" s="1949" t="s">
        <v>942</v>
      </c>
      <c r="B3" s="1949"/>
      <c r="C3" s="1949"/>
      <c r="D3" s="1949"/>
      <c r="E3" s="1949"/>
    </row>
    <row r="4" spans="1:5" ht="14" thickBot="1">
      <c r="A4" s="827"/>
      <c r="B4" s="827"/>
      <c r="C4" s="827"/>
      <c r="D4" s="1737"/>
      <c r="E4" s="828"/>
    </row>
    <row r="5" spans="1:5" ht="37.5" customHeight="1" thickTop="1">
      <c r="A5" s="571" t="s">
        <v>0</v>
      </c>
      <c r="B5" s="572" t="s">
        <v>36</v>
      </c>
      <c r="C5" s="572" t="s">
        <v>110</v>
      </c>
      <c r="D5" s="572" t="s">
        <v>37</v>
      </c>
      <c r="E5" s="573" t="s">
        <v>2</v>
      </c>
    </row>
    <row r="6" spans="1:5" ht="33" customHeight="1">
      <c r="A6" s="1383" t="s">
        <v>6</v>
      </c>
      <c r="B6" s="1384" t="s">
        <v>78</v>
      </c>
      <c r="C6" s="1384"/>
      <c r="D6" s="1738"/>
      <c r="E6" s="1385"/>
    </row>
    <row r="7" spans="1:5" ht="18.75" customHeight="1">
      <c r="A7" s="924">
        <v>1</v>
      </c>
      <c r="B7" s="925" t="s">
        <v>80</v>
      </c>
      <c r="C7" s="925"/>
      <c r="D7" s="1739">
        <f>D8</f>
        <v>650000</v>
      </c>
      <c r="E7" s="926"/>
    </row>
    <row r="8" spans="1:5" ht="50" customHeight="1">
      <c r="A8" s="928" t="s">
        <v>364</v>
      </c>
      <c r="B8" s="927" t="s">
        <v>578</v>
      </c>
      <c r="C8" s="927" t="s">
        <v>579</v>
      </c>
      <c r="D8" s="1740">
        <v>650000</v>
      </c>
      <c r="E8" s="929">
        <v>0.5</v>
      </c>
    </row>
    <row r="9" spans="1:5" ht="18.75" customHeight="1">
      <c r="A9" s="924">
        <v>2</v>
      </c>
      <c r="B9" s="925" t="s">
        <v>79</v>
      </c>
      <c r="C9" s="925"/>
      <c r="D9" s="1741">
        <f>SUM(D10:D11)</f>
        <v>425000</v>
      </c>
      <c r="E9" s="926"/>
    </row>
    <row r="10" spans="1:5" ht="30">
      <c r="A10" s="928">
        <v>2.1</v>
      </c>
      <c r="B10" s="1732" t="s">
        <v>1288</v>
      </c>
      <c r="C10" s="1732" t="s">
        <v>702</v>
      </c>
      <c r="D10" s="1742">
        <v>250000</v>
      </c>
      <c r="E10" s="929">
        <v>0.5</v>
      </c>
    </row>
    <row r="11" spans="1:5" ht="30">
      <c r="A11" s="928">
        <v>2.2000000000000002</v>
      </c>
      <c r="B11" s="1732" t="s">
        <v>773</v>
      </c>
      <c r="C11" s="1732" t="s">
        <v>774</v>
      </c>
      <c r="D11" s="1742">
        <v>175000</v>
      </c>
      <c r="E11" s="929">
        <v>0.5</v>
      </c>
    </row>
    <row r="12" spans="1:5" ht="18.75" customHeight="1">
      <c r="A12" s="924">
        <v>3</v>
      </c>
      <c r="B12" s="925" t="s">
        <v>81</v>
      </c>
      <c r="C12" s="925"/>
      <c r="D12" s="1743"/>
      <c r="E12" s="926"/>
    </row>
    <row r="13" spans="1:5" ht="33.75" customHeight="1">
      <c r="A13" s="930" t="s">
        <v>7</v>
      </c>
      <c r="B13" s="931" t="s">
        <v>111</v>
      </c>
      <c r="C13" s="931"/>
      <c r="D13" s="1744"/>
      <c r="E13" s="932"/>
    </row>
    <row r="14" spans="1:5" ht="18.75" customHeight="1">
      <c r="A14" s="933" t="s">
        <v>24</v>
      </c>
      <c r="B14" s="934" t="s">
        <v>775</v>
      </c>
      <c r="C14" s="934"/>
      <c r="D14" s="1739">
        <f>SUM(D15:D22)</f>
        <v>80000</v>
      </c>
      <c r="E14" s="935"/>
    </row>
    <row r="15" spans="1:5" s="623" customFormat="1" ht="30">
      <c r="A15" s="928">
        <v>3.1</v>
      </c>
      <c r="B15" s="1841" t="s">
        <v>1652</v>
      </c>
      <c r="C15" s="927" t="s">
        <v>1289</v>
      </c>
      <c r="D15" s="1740">
        <v>10000</v>
      </c>
      <c r="E15" s="935"/>
    </row>
    <row r="16" spans="1:5" s="623" customFormat="1" ht="30">
      <c r="A16" s="928">
        <v>3.2</v>
      </c>
      <c r="B16" s="927" t="s">
        <v>1290</v>
      </c>
      <c r="C16" s="927" t="s">
        <v>1291</v>
      </c>
      <c r="D16" s="1740">
        <v>10000</v>
      </c>
      <c r="E16" s="935"/>
    </row>
    <row r="17" spans="1:5" s="623" customFormat="1" ht="30">
      <c r="A17" s="928" t="s">
        <v>1292</v>
      </c>
      <c r="B17" s="927" t="s">
        <v>1345</v>
      </c>
      <c r="C17" s="927" t="s">
        <v>1346</v>
      </c>
      <c r="D17" s="1740">
        <v>10000</v>
      </c>
      <c r="E17" s="935"/>
    </row>
    <row r="18" spans="1:5" s="623" customFormat="1" ht="30">
      <c r="A18" s="928">
        <v>3.4</v>
      </c>
      <c r="B18" s="927" t="s">
        <v>1347</v>
      </c>
      <c r="C18" s="927" t="s">
        <v>1348</v>
      </c>
      <c r="D18" s="1740">
        <v>10000</v>
      </c>
      <c r="E18" s="935"/>
    </row>
    <row r="19" spans="1:5" s="623" customFormat="1" ht="46" customHeight="1">
      <c r="A19" s="928">
        <v>3.5</v>
      </c>
      <c r="B19" s="941" t="s">
        <v>1358</v>
      </c>
      <c r="C19" s="927" t="s">
        <v>1293</v>
      </c>
      <c r="D19" s="1740">
        <v>10000</v>
      </c>
      <c r="E19" s="935"/>
    </row>
    <row r="20" spans="1:5" s="623" customFormat="1" ht="31" customHeight="1">
      <c r="A20" s="928">
        <v>3.6</v>
      </c>
      <c r="B20" s="941" t="s">
        <v>1359</v>
      </c>
      <c r="C20" s="927" t="s">
        <v>1293</v>
      </c>
      <c r="D20" s="1740">
        <v>10000</v>
      </c>
      <c r="E20" s="935"/>
    </row>
    <row r="21" spans="1:5" s="623" customFormat="1" ht="45" customHeight="1">
      <c r="A21" s="1386">
        <v>3.7</v>
      </c>
      <c r="B21" s="927" t="s">
        <v>1451</v>
      </c>
      <c r="C21" s="927" t="s">
        <v>1293</v>
      </c>
      <c r="D21" s="1740">
        <v>10000</v>
      </c>
      <c r="E21" s="935"/>
    </row>
    <row r="22" spans="1:5" s="623" customFormat="1" ht="16" customHeight="1">
      <c r="A22" s="1386">
        <v>3.8</v>
      </c>
      <c r="B22" s="942" t="s">
        <v>1360</v>
      </c>
      <c r="C22" s="927" t="s">
        <v>1293</v>
      </c>
      <c r="D22" s="1740">
        <v>10000</v>
      </c>
      <c r="E22" s="935"/>
    </row>
    <row r="23" spans="1:5" ht="20.5" customHeight="1">
      <c r="A23" s="933" t="s">
        <v>35</v>
      </c>
      <c r="B23" s="934" t="s">
        <v>776</v>
      </c>
      <c r="C23" s="934"/>
      <c r="D23" s="1739">
        <f>SUM(D24:D35)</f>
        <v>370000</v>
      </c>
      <c r="E23" s="935"/>
    </row>
    <row r="24" spans="1:5" s="623" customFormat="1" ht="33" customHeight="1">
      <c r="A24" s="936">
        <v>4.0999999999999996</v>
      </c>
      <c r="B24" s="937" t="s">
        <v>891</v>
      </c>
      <c r="C24" s="937" t="s">
        <v>727</v>
      </c>
      <c r="D24" s="1745">
        <v>20000</v>
      </c>
      <c r="E24" s="935"/>
    </row>
    <row r="25" spans="1:5" s="623" customFormat="1" ht="45">
      <c r="A25" s="928">
        <v>4.2</v>
      </c>
      <c r="B25" s="939" t="s">
        <v>1294</v>
      </c>
      <c r="C25" s="927" t="s">
        <v>726</v>
      </c>
      <c r="D25" s="1740">
        <v>20000</v>
      </c>
      <c r="E25" s="935"/>
    </row>
    <row r="26" spans="1:5" s="623" customFormat="1" ht="33" customHeight="1">
      <c r="A26" s="928">
        <v>4.3</v>
      </c>
      <c r="B26" s="939" t="s">
        <v>1295</v>
      </c>
      <c r="C26" s="927" t="s">
        <v>1296</v>
      </c>
      <c r="D26" s="1740">
        <v>20000</v>
      </c>
      <c r="E26" s="935"/>
    </row>
    <row r="27" spans="1:5" s="623" customFormat="1" ht="45">
      <c r="A27" s="928">
        <v>4.4000000000000004</v>
      </c>
      <c r="B27" s="939" t="s">
        <v>1297</v>
      </c>
      <c r="C27" s="927" t="s">
        <v>1298</v>
      </c>
      <c r="D27" s="1740">
        <v>20000</v>
      </c>
      <c r="E27" s="935"/>
    </row>
    <row r="28" spans="1:5" s="623" customFormat="1" ht="30">
      <c r="A28" s="928">
        <v>4.5</v>
      </c>
      <c r="B28" s="939" t="s">
        <v>1299</v>
      </c>
      <c r="C28" s="927" t="s">
        <v>1300</v>
      </c>
      <c r="D28" s="1740">
        <v>20000</v>
      </c>
      <c r="E28" s="935"/>
    </row>
    <row r="29" spans="1:5" s="623" customFormat="1" ht="30">
      <c r="A29" s="936">
        <v>4.5999999999999996</v>
      </c>
      <c r="B29" s="941" t="s">
        <v>1357</v>
      </c>
      <c r="C29" s="937" t="s">
        <v>1281</v>
      </c>
      <c r="D29" s="1745">
        <v>20000</v>
      </c>
      <c r="E29" s="938"/>
    </row>
    <row r="30" spans="1:5" s="623" customFormat="1" ht="45">
      <c r="A30" s="936">
        <v>4.7</v>
      </c>
      <c r="B30" s="939" t="s">
        <v>1343</v>
      </c>
      <c r="C30" s="927" t="s">
        <v>645</v>
      </c>
      <c r="D30" s="1740">
        <v>60000</v>
      </c>
      <c r="E30" s="940" t="s">
        <v>1344</v>
      </c>
    </row>
    <row r="31" spans="1:5" s="623" customFormat="1" ht="30">
      <c r="A31" s="936">
        <v>4.8</v>
      </c>
      <c r="B31" s="939" t="s">
        <v>1295</v>
      </c>
      <c r="C31" s="927" t="s">
        <v>1453</v>
      </c>
      <c r="D31" s="1746">
        <v>20000</v>
      </c>
      <c r="E31" s="940"/>
    </row>
    <row r="32" spans="1:5" s="623" customFormat="1" ht="33" customHeight="1">
      <c r="A32" s="936">
        <v>4.9000000000000004</v>
      </c>
      <c r="B32" s="1814" t="s">
        <v>1439</v>
      </c>
      <c r="C32" s="1815" t="s">
        <v>716</v>
      </c>
      <c r="D32" s="1746">
        <v>20000</v>
      </c>
      <c r="E32" s="1816"/>
    </row>
    <row r="33" spans="1:5" s="623" customFormat="1" ht="33" customHeight="1">
      <c r="A33" s="1817" t="s">
        <v>1586</v>
      </c>
      <c r="B33" s="1818" t="s">
        <v>1571</v>
      </c>
      <c r="C33" s="1819" t="s">
        <v>730</v>
      </c>
      <c r="D33" s="1820">
        <v>30000</v>
      </c>
      <c r="E33" s="1816"/>
    </row>
    <row r="34" spans="1:5" s="623" customFormat="1" ht="33" customHeight="1">
      <c r="A34" s="1821">
        <v>4.1100000000000003</v>
      </c>
      <c r="B34" s="1822" t="s">
        <v>1584</v>
      </c>
      <c r="C34" s="1732" t="s">
        <v>1585</v>
      </c>
      <c r="D34" s="1742">
        <v>100000</v>
      </c>
      <c r="E34" s="1816"/>
    </row>
    <row r="35" spans="1:5" s="623" customFormat="1" ht="46" customHeight="1">
      <c r="A35" s="1823">
        <v>4.12</v>
      </c>
      <c r="B35" s="1824" t="s">
        <v>1587</v>
      </c>
      <c r="C35" s="1825" t="s">
        <v>291</v>
      </c>
      <c r="D35" s="1826">
        <v>20000</v>
      </c>
      <c r="E35" s="1387"/>
    </row>
    <row r="36" spans="1:5" s="623" customFormat="1" ht="14">
      <c r="B36" s="373"/>
      <c r="D36" s="1747"/>
      <c r="E36" s="1034"/>
    </row>
    <row r="37" spans="1:5" s="623" customFormat="1" ht="16" thickBot="1">
      <c r="A37" s="1388"/>
      <c r="B37" s="1389" t="s">
        <v>23</v>
      </c>
      <c r="C37" s="1389"/>
      <c r="D37" s="1748">
        <f>D7+D9+D14+D23</f>
        <v>1525000</v>
      </c>
      <c r="E37" s="1390"/>
    </row>
    <row r="38" spans="1:5" ht="15" thickTop="1">
      <c r="A38" s="620"/>
      <c r="B38" s="373"/>
      <c r="C38" s="1951" t="s">
        <v>883</v>
      </c>
      <c r="D38" s="1951"/>
      <c r="E38" s="1951"/>
    </row>
    <row r="39" spans="1:5" ht="14">
      <c r="B39" s="621" t="s">
        <v>1653</v>
      </c>
      <c r="C39" s="1952" t="s">
        <v>20</v>
      </c>
      <c r="D39" s="1952"/>
      <c r="E39" s="1952"/>
    </row>
    <row r="41" spans="1:5">
      <c r="A41" s="5"/>
    </row>
    <row r="42" spans="1:5">
      <c r="A42" s="5"/>
      <c r="B42" s="7"/>
      <c r="C42" s="7"/>
      <c r="D42" s="130"/>
    </row>
    <row r="43" spans="1:5">
      <c r="A43" s="5"/>
      <c r="B43" s="7"/>
      <c r="C43" s="1950" t="s">
        <v>843</v>
      </c>
      <c r="D43" s="1950"/>
      <c r="E43" s="1950"/>
    </row>
    <row r="44" spans="1:5" ht="16">
      <c r="A44" s="1953"/>
      <c r="B44" s="1953"/>
      <c r="C44" s="1953"/>
      <c r="D44" s="1953"/>
      <c r="E44" s="1953"/>
    </row>
  </sheetData>
  <mergeCells count="5">
    <mergeCell ref="A3:E3"/>
    <mergeCell ref="C43:E43"/>
    <mergeCell ref="C38:E38"/>
    <mergeCell ref="C39:E39"/>
    <mergeCell ref="A44:E44"/>
  </mergeCells>
  <pageMargins left="0.74" right="0.4" top="0.62" bottom="0.75" header="0.47" footer="0.66"/>
  <pageSetup paperSize="9" scale="7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21"/>
  <sheetViews>
    <sheetView view="pageBreakPreview" zoomScale="85" zoomScaleNormal="100" zoomScaleSheetLayoutView="85" workbookViewId="0">
      <selection activeCell="I7" sqref="I7"/>
    </sheetView>
  </sheetViews>
  <sheetFormatPr baseColWidth="10" defaultColWidth="9.1640625" defaultRowHeight="13"/>
  <cols>
    <col min="1" max="1" width="6.1640625" style="916" customWidth="1"/>
    <col min="2" max="2" width="29.83203125" style="916" customWidth="1"/>
    <col min="3" max="3" width="18.6640625" style="916" customWidth="1"/>
    <col min="4" max="4" width="10.1640625" style="916" customWidth="1"/>
    <col min="5" max="5" width="10.6640625" style="916" customWidth="1"/>
    <col min="6" max="6" width="6.5" style="916" customWidth="1"/>
    <col min="7" max="7" width="9.1640625" style="916"/>
    <col min="8" max="8" width="18.33203125" style="916" customWidth="1"/>
    <col min="9" max="9" width="16" style="916" customWidth="1"/>
    <col min="10" max="10" width="15.5" style="916" customWidth="1"/>
    <col min="11" max="256" width="9.1640625" style="916"/>
    <col min="257" max="257" width="6.1640625" style="916" customWidth="1"/>
    <col min="258" max="258" width="33.33203125" style="916" customWidth="1"/>
    <col min="259" max="259" width="18.6640625" style="916" customWidth="1"/>
    <col min="260" max="260" width="10.1640625" style="916" customWidth="1"/>
    <col min="261" max="261" width="10.6640625" style="916" customWidth="1"/>
    <col min="262" max="263" width="9.1640625" style="916"/>
    <col min="264" max="264" width="18.33203125" style="916" customWidth="1"/>
    <col min="265" max="265" width="19.83203125" style="916" customWidth="1"/>
    <col min="266" max="266" width="25" style="916" customWidth="1"/>
    <col min="267" max="512" width="9.1640625" style="916"/>
    <col min="513" max="513" width="6.1640625" style="916" customWidth="1"/>
    <col min="514" max="514" width="33.33203125" style="916" customWidth="1"/>
    <col min="515" max="515" width="18.6640625" style="916" customWidth="1"/>
    <col min="516" max="516" width="10.1640625" style="916" customWidth="1"/>
    <col min="517" max="517" width="10.6640625" style="916" customWidth="1"/>
    <col min="518" max="519" width="9.1640625" style="916"/>
    <col min="520" max="520" width="18.33203125" style="916" customWidth="1"/>
    <col min="521" max="521" width="19.83203125" style="916" customWidth="1"/>
    <col min="522" max="522" width="25" style="916" customWidth="1"/>
    <col min="523" max="768" width="9.1640625" style="916"/>
    <col min="769" max="769" width="6.1640625" style="916" customWidth="1"/>
    <col min="770" max="770" width="33.33203125" style="916" customWidth="1"/>
    <col min="771" max="771" width="18.6640625" style="916" customWidth="1"/>
    <col min="772" max="772" width="10.1640625" style="916" customWidth="1"/>
    <col min="773" max="773" width="10.6640625" style="916" customWidth="1"/>
    <col min="774" max="775" width="9.1640625" style="916"/>
    <col min="776" max="776" width="18.33203125" style="916" customWidth="1"/>
    <col min="777" max="777" width="19.83203125" style="916" customWidth="1"/>
    <col min="778" max="778" width="25" style="916" customWidth="1"/>
    <col min="779" max="1024" width="9.1640625" style="916"/>
    <col min="1025" max="1025" width="6.1640625" style="916" customWidth="1"/>
    <col min="1026" max="1026" width="33.33203125" style="916" customWidth="1"/>
    <col min="1027" max="1027" width="18.6640625" style="916" customWidth="1"/>
    <col min="1028" max="1028" width="10.1640625" style="916" customWidth="1"/>
    <col min="1029" max="1029" width="10.6640625" style="916" customWidth="1"/>
    <col min="1030" max="1031" width="9.1640625" style="916"/>
    <col min="1032" max="1032" width="18.33203125" style="916" customWidth="1"/>
    <col min="1033" max="1033" width="19.83203125" style="916" customWidth="1"/>
    <col min="1034" max="1034" width="25" style="916" customWidth="1"/>
    <col min="1035" max="1280" width="9.1640625" style="916"/>
    <col min="1281" max="1281" width="6.1640625" style="916" customWidth="1"/>
    <col min="1282" max="1282" width="33.33203125" style="916" customWidth="1"/>
    <col min="1283" max="1283" width="18.6640625" style="916" customWidth="1"/>
    <col min="1284" max="1284" width="10.1640625" style="916" customWidth="1"/>
    <col min="1285" max="1285" width="10.6640625" style="916" customWidth="1"/>
    <col min="1286" max="1287" width="9.1640625" style="916"/>
    <col min="1288" max="1288" width="18.33203125" style="916" customWidth="1"/>
    <col min="1289" max="1289" width="19.83203125" style="916" customWidth="1"/>
    <col min="1290" max="1290" width="25" style="916" customWidth="1"/>
    <col min="1291" max="1536" width="9.1640625" style="916"/>
    <col min="1537" max="1537" width="6.1640625" style="916" customWidth="1"/>
    <col min="1538" max="1538" width="33.33203125" style="916" customWidth="1"/>
    <col min="1539" max="1539" width="18.6640625" style="916" customWidth="1"/>
    <col min="1540" max="1540" width="10.1640625" style="916" customWidth="1"/>
    <col min="1541" max="1541" width="10.6640625" style="916" customWidth="1"/>
    <col min="1542" max="1543" width="9.1640625" style="916"/>
    <col min="1544" max="1544" width="18.33203125" style="916" customWidth="1"/>
    <col min="1545" max="1545" width="19.83203125" style="916" customWidth="1"/>
    <col min="1546" max="1546" width="25" style="916" customWidth="1"/>
    <col min="1547" max="1792" width="9.1640625" style="916"/>
    <col min="1793" max="1793" width="6.1640625" style="916" customWidth="1"/>
    <col min="1794" max="1794" width="33.33203125" style="916" customWidth="1"/>
    <col min="1795" max="1795" width="18.6640625" style="916" customWidth="1"/>
    <col min="1796" max="1796" width="10.1640625" style="916" customWidth="1"/>
    <col min="1797" max="1797" width="10.6640625" style="916" customWidth="1"/>
    <col min="1798" max="1799" width="9.1640625" style="916"/>
    <col min="1800" max="1800" width="18.33203125" style="916" customWidth="1"/>
    <col min="1801" max="1801" width="19.83203125" style="916" customWidth="1"/>
    <col min="1802" max="1802" width="25" style="916" customWidth="1"/>
    <col min="1803" max="2048" width="9.1640625" style="916"/>
    <col min="2049" max="2049" width="6.1640625" style="916" customWidth="1"/>
    <col min="2050" max="2050" width="33.33203125" style="916" customWidth="1"/>
    <col min="2051" max="2051" width="18.6640625" style="916" customWidth="1"/>
    <col min="2052" max="2052" width="10.1640625" style="916" customWidth="1"/>
    <col min="2053" max="2053" width="10.6640625" style="916" customWidth="1"/>
    <col min="2054" max="2055" width="9.1640625" style="916"/>
    <col min="2056" max="2056" width="18.33203125" style="916" customWidth="1"/>
    <col min="2057" max="2057" width="19.83203125" style="916" customWidth="1"/>
    <col min="2058" max="2058" width="25" style="916" customWidth="1"/>
    <col min="2059" max="2304" width="9.1640625" style="916"/>
    <col min="2305" max="2305" width="6.1640625" style="916" customWidth="1"/>
    <col min="2306" max="2306" width="33.33203125" style="916" customWidth="1"/>
    <col min="2307" max="2307" width="18.6640625" style="916" customWidth="1"/>
    <col min="2308" max="2308" width="10.1640625" style="916" customWidth="1"/>
    <col min="2309" max="2309" width="10.6640625" style="916" customWidth="1"/>
    <col min="2310" max="2311" width="9.1640625" style="916"/>
    <col min="2312" max="2312" width="18.33203125" style="916" customWidth="1"/>
    <col min="2313" max="2313" width="19.83203125" style="916" customWidth="1"/>
    <col min="2314" max="2314" width="25" style="916" customWidth="1"/>
    <col min="2315" max="2560" width="9.1640625" style="916"/>
    <col min="2561" max="2561" width="6.1640625" style="916" customWidth="1"/>
    <col min="2562" max="2562" width="33.33203125" style="916" customWidth="1"/>
    <col min="2563" max="2563" width="18.6640625" style="916" customWidth="1"/>
    <col min="2564" max="2564" width="10.1640625" style="916" customWidth="1"/>
    <col min="2565" max="2565" width="10.6640625" style="916" customWidth="1"/>
    <col min="2566" max="2567" width="9.1640625" style="916"/>
    <col min="2568" max="2568" width="18.33203125" style="916" customWidth="1"/>
    <col min="2569" max="2569" width="19.83203125" style="916" customWidth="1"/>
    <col min="2570" max="2570" width="25" style="916" customWidth="1"/>
    <col min="2571" max="2816" width="9.1640625" style="916"/>
    <col min="2817" max="2817" width="6.1640625" style="916" customWidth="1"/>
    <col min="2818" max="2818" width="33.33203125" style="916" customWidth="1"/>
    <col min="2819" max="2819" width="18.6640625" style="916" customWidth="1"/>
    <col min="2820" max="2820" width="10.1640625" style="916" customWidth="1"/>
    <col min="2821" max="2821" width="10.6640625" style="916" customWidth="1"/>
    <col min="2822" max="2823" width="9.1640625" style="916"/>
    <col min="2824" max="2824" width="18.33203125" style="916" customWidth="1"/>
    <col min="2825" max="2825" width="19.83203125" style="916" customWidth="1"/>
    <col min="2826" max="2826" width="25" style="916" customWidth="1"/>
    <col min="2827" max="3072" width="9.1640625" style="916"/>
    <col min="3073" max="3073" width="6.1640625" style="916" customWidth="1"/>
    <col min="3074" max="3074" width="33.33203125" style="916" customWidth="1"/>
    <col min="3075" max="3075" width="18.6640625" style="916" customWidth="1"/>
    <col min="3076" max="3076" width="10.1640625" style="916" customWidth="1"/>
    <col min="3077" max="3077" width="10.6640625" style="916" customWidth="1"/>
    <col min="3078" max="3079" width="9.1640625" style="916"/>
    <col min="3080" max="3080" width="18.33203125" style="916" customWidth="1"/>
    <col min="3081" max="3081" width="19.83203125" style="916" customWidth="1"/>
    <col min="3082" max="3082" width="25" style="916" customWidth="1"/>
    <col min="3083" max="3328" width="9.1640625" style="916"/>
    <col min="3329" max="3329" width="6.1640625" style="916" customWidth="1"/>
    <col min="3330" max="3330" width="33.33203125" style="916" customWidth="1"/>
    <col min="3331" max="3331" width="18.6640625" style="916" customWidth="1"/>
    <col min="3332" max="3332" width="10.1640625" style="916" customWidth="1"/>
    <col min="3333" max="3333" width="10.6640625" style="916" customWidth="1"/>
    <col min="3334" max="3335" width="9.1640625" style="916"/>
    <col min="3336" max="3336" width="18.33203125" style="916" customWidth="1"/>
    <col min="3337" max="3337" width="19.83203125" style="916" customWidth="1"/>
    <col min="3338" max="3338" width="25" style="916" customWidth="1"/>
    <col min="3339" max="3584" width="9.1640625" style="916"/>
    <col min="3585" max="3585" width="6.1640625" style="916" customWidth="1"/>
    <col min="3586" max="3586" width="33.33203125" style="916" customWidth="1"/>
    <col min="3587" max="3587" width="18.6640625" style="916" customWidth="1"/>
    <col min="3588" max="3588" width="10.1640625" style="916" customWidth="1"/>
    <col min="3589" max="3589" width="10.6640625" style="916" customWidth="1"/>
    <col min="3590" max="3591" width="9.1640625" style="916"/>
    <col min="3592" max="3592" width="18.33203125" style="916" customWidth="1"/>
    <col min="3593" max="3593" width="19.83203125" style="916" customWidth="1"/>
    <col min="3594" max="3594" width="25" style="916" customWidth="1"/>
    <col min="3595" max="3840" width="9.1640625" style="916"/>
    <col min="3841" max="3841" width="6.1640625" style="916" customWidth="1"/>
    <col min="3842" max="3842" width="33.33203125" style="916" customWidth="1"/>
    <col min="3843" max="3843" width="18.6640625" style="916" customWidth="1"/>
    <col min="3844" max="3844" width="10.1640625" style="916" customWidth="1"/>
    <col min="3845" max="3845" width="10.6640625" style="916" customWidth="1"/>
    <col min="3846" max="3847" width="9.1640625" style="916"/>
    <col min="3848" max="3848" width="18.33203125" style="916" customWidth="1"/>
    <col min="3849" max="3849" width="19.83203125" style="916" customWidth="1"/>
    <col min="3850" max="3850" width="25" style="916" customWidth="1"/>
    <col min="3851" max="4096" width="9.1640625" style="916"/>
    <col min="4097" max="4097" width="6.1640625" style="916" customWidth="1"/>
    <col min="4098" max="4098" width="33.33203125" style="916" customWidth="1"/>
    <col min="4099" max="4099" width="18.6640625" style="916" customWidth="1"/>
    <col min="4100" max="4100" width="10.1640625" style="916" customWidth="1"/>
    <col min="4101" max="4101" width="10.6640625" style="916" customWidth="1"/>
    <col min="4102" max="4103" width="9.1640625" style="916"/>
    <col min="4104" max="4104" width="18.33203125" style="916" customWidth="1"/>
    <col min="4105" max="4105" width="19.83203125" style="916" customWidth="1"/>
    <col min="4106" max="4106" width="25" style="916" customWidth="1"/>
    <col min="4107" max="4352" width="9.1640625" style="916"/>
    <col min="4353" max="4353" width="6.1640625" style="916" customWidth="1"/>
    <col min="4354" max="4354" width="33.33203125" style="916" customWidth="1"/>
    <col min="4355" max="4355" width="18.6640625" style="916" customWidth="1"/>
    <col min="4356" max="4356" width="10.1640625" style="916" customWidth="1"/>
    <col min="4357" max="4357" width="10.6640625" style="916" customWidth="1"/>
    <col min="4358" max="4359" width="9.1640625" style="916"/>
    <col min="4360" max="4360" width="18.33203125" style="916" customWidth="1"/>
    <col min="4361" max="4361" width="19.83203125" style="916" customWidth="1"/>
    <col min="4362" max="4362" width="25" style="916" customWidth="1"/>
    <col min="4363" max="4608" width="9.1640625" style="916"/>
    <col min="4609" max="4609" width="6.1640625" style="916" customWidth="1"/>
    <col min="4610" max="4610" width="33.33203125" style="916" customWidth="1"/>
    <col min="4611" max="4611" width="18.6640625" style="916" customWidth="1"/>
    <col min="4612" max="4612" width="10.1640625" style="916" customWidth="1"/>
    <col min="4613" max="4613" width="10.6640625" style="916" customWidth="1"/>
    <col min="4614" max="4615" width="9.1640625" style="916"/>
    <col min="4616" max="4616" width="18.33203125" style="916" customWidth="1"/>
    <col min="4617" max="4617" width="19.83203125" style="916" customWidth="1"/>
    <col min="4618" max="4618" width="25" style="916" customWidth="1"/>
    <col min="4619" max="4864" width="9.1640625" style="916"/>
    <col min="4865" max="4865" width="6.1640625" style="916" customWidth="1"/>
    <col min="4866" max="4866" width="33.33203125" style="916" customWidth="1"/>
    <col min="4867" max="4867" width="18.6640625" style="916" customWidth="1"/>
    <col min="4868" max="4868" width="10.1640625" style="916" customWidth="1"/>
    <col min="4869" max="4869" width="10.6640625" style="916" customWidth="1"/>
    <col min="4870" max="4871" width="9.1640625" style="916"/>
    <col min="4872" max="4872" width="18.33203125" style="916" customWidth="1"/>
    <col min="4873" max="4873" width="19.83203125" style="916" customWidth="1"/>
    <col min="4874" max="4874" width="25" style="916" customWidth="1"/>
    <col min="4875" max="5120" width="9.1640625" style="916"/>
    <col min="5121" max="5121" width="6.1640625" style="916" customWidth="1"/>
    <col min="5122" max="5122" width="33.33203125" style="916" customWidth="1"/>
    <col min="5123" max="5123" width="18.6640625" style="916" customWidth="1"/>
    <col min="5124" max="5124" width="10.1640625" style="916" customWidth="1"/>
    <col min="5125" max="5125" width="10.6640625" style="916" customWidth="1"/>
    <col min="5126" max="5127" width="9.1640625" style="916"/>
    <col min="5128" max="5128" width="18.33203125" style="916" customWidth="1"/>
    <col min="5129" max="5129" width="19.83203125" style="916" customWidth="1"/>
    <col min="5130" max="5130" width="25" style="916" customWidth="1"/>
    <col min="5131" max="5376" width="9.1640625" style="916"/>
    <col min="5377" max="5377" width="6.1640625" style="916" customWidth="1"/>
    <col min="5378" max="5378" width="33.33203125" style="916" customWidth="1"/>
    <col min="5379" max="5379" width="18.6640625" style="916" customWidth="1"/>
    <col min="5380" max="5380" width="10.1640625" style="916" customWidth="1"/>
    <col min="5381" max="5381" width="10.6640625" style="916" customWidth="1"/>
    <col min="5382" max="5383" width="9.1640625" style="916"/>
    <col min="5384" max="5384" width="18.33203125" style="916" customWidth="1"/>
    <col min="5385" max="5385" width="19.83203125" style="916" customWidth="1"/>
    <col min="5386" max="5386" width="25" style="916" customWidth="1"/>
    <col min="5387" max="5632" width="9.1640625" style="916"/>
    <col min="5633" max="5633" width="6.1640625" style="916" customWidth="1"/>
    <col min="5634" max="5634" width="33.33203125" style="916" customWidth="1"/>
    <col min="5635" max="5635" width="18.6640625" style="916" customWidth="1"/>
    <col min="5636" max="5636" width="10.1640625" style="916" customWidth="1"/>
    <col min="5637" max="5637" width="10.6640625" style="916" customWidth="1"/>
    <col min="5638" max="5639" width="9.1640625" style="916"/>
    <col min="5640" max="5640" width="18.33203125" style="916" customWidth="1"/>
    <col min="5641" max="5641" width="19.83203125" style="916" customWidth="1"/>
    <col min="5642" max="5642" width="25" style="916" customWidth="1"/>
    <col min="5643" max="5888" width="9.1640625" style="916"/>
    <col min="5889" max="5889" width="6.1640625" style="916" customWidth="1"/>
    <col min="5890" max="5890" width="33.33203125" style="916" customWidth="1"/>
    <col min="5891" max="5891" width="18.6640625" style="916" customWidth="1"/>
    <col min="5892" max="5892" width="10.1640625" style="916" customWidth="1"/>
    <col min="5893" max="5893" width="10.6640625" style="916" customWidth="1"/>
    <col min="5894" max="5895" width="9.1640625" style="916"/>
    <col min="5896" max="5896" width="18.33203125" style="916" customWidth="1"/>
    <col min="5897" max="5897" width="19.83203125" style="916" customWidth="1"/>
    <col min="5898" max="5898" width="25" style="916" customWidth="1"/>
    <col min="5899" max="6144" width="9.1640625" style="916"/>
    <col min="6145" max="6145" width="6.1640625" style="916" customWidth="1"/>
    <col min="6146" max="6146" width="33.33203125" style="916" customWidth="1"/>
    <col min="6147" max="6147" width="18.6640625" style="916" customWidth="1"/>
    <col min="6148" max="6148" width="10.1640625" style="916" customWidth="1"/>
    <col min="6149" max="6149" width="10.6640625" style="916" customWidth="1"/>
    <col min="6150" max="6151" width="9.1640625" style="916"/>
    <col min="6152" max="6152" width="18.33203125" style="916" customWidth="1"/>
    <col min="6153" max="6153" width="19.83203125" style="916" customWidth="1"/>
    <col min="6154" max="6154" width="25" style="916" customWidth="1"/>
    <col min="6155" max="6400" width="9.1640625" style="916"/>
    <col min="6401" max="6401" width="6.1640625" style="916" customWidth="1"/>
    <col min="6402" max="6402" width="33.33203125" style="916" customWidth="1"/>
    <col min="6403" max="6403" width="18.6640625" style="916" customWidth="1"/>
    <col min="6404" max="6404" width="10.1640625" style="916" customWidth="1"/>
    <col min="6405" max="6405" width="10.6640625" style="916" customWidth="1"/>
    <col min="6406" max="6407" width="9.1640625" style="916"/>
    <col min="6408" max="6408" width="18.33203125" style="916" customWidth="1"/>
    <col min="6409" max="6409" width="19.83203125" style="916" customWidth="1"/>
    <col min="6410" max="6410" width="25" style="916" customWidth="1"/>
    <col min="6411" max="6656" width="9.1640625" style="916"/>
    <col min="6657" max="6657" width="6.1640625" style="916" customWidth="1"/>
    <col min="6658" max="6658" width="33.33203125" style="916" customWidth="1"/>
    <col min="6659" max="6659" width="18.6640625" style="916" customWidth="1"/>
    <col min="6660" max="6660" width="10.1640625" style="916" customWidth="1"/>
    <col min="6661" max="6661" width="10.6640625" style="916" customWidth="1"/>
    <col min="6662" max="6663" width="9.1640625" style="916"/>
    <col min="6664" max="6664" width="18.33203125" style="916" customWidth="1"/>
    <col min="6665" max="6665" width="19.83203125" style="916" customWidth="1"/>
    <col min="6666" max="6666" width="25" style="916" customWidth="1"/>
    <col min="6667" max="6912" width="9.1640625" style="916"/>
    <col min="6913" max="6913" width="6.1640625" style="916" customWidth="1"/>
    <col min="6914" max="6914" width="33.33203125" style="916" customWidth="1"/>
    <col min="6915" max="6915" width="18.6640625" style="916" customWidth="1"/>
    <col min="6916" max="6916" width="10.1640625" style="916" customWidth="1"/>
    <col min="6917" max="6917" width="10.6640625" style="916" customWidth="1"/>
    <col min="6918" max="6919" width="9.1640625" style="916"/>
    <col min="6920" max="6920" width="18.33203125" style="916" customWidth="1"/>
    <col min="6921" max="6921" width="19.83203125" style="916" customWidth="1"/>
    <col min="6922" max="6922" width="25" style="916" customWidth="1"/>
    <col min="6923" max="7168" width="9.1640625" style="916"/>
    <col min="7169" max="7169" width="6.1640625" style="916" customWidth="1"/>
    <col min="7170" max="7170" width="33.33203125" style="916" customWidth="1"/>
    <col min="7171" max="7171" width="18.6640625" style="916" customWidth="1"/>
    <col min="7172" max="7172" width="10.1640625" style="916" customWidth="1"/>
    <col min="7173" max="7173" width="10.6640625" style="916" customWidth="1"/>
    <col min="7174" max="7175" width="9.1640625" style="916"/>
    <col min="7176" max="7176" width="18.33203125" style="916" customWidth="1"/>
    <col min="7177" max="7177" width="19.83203125" style="916" customWidth="1"/>
    <col min="7178" max="7178" width="25" style="916" customWidth="1"/>
    <col min="7179" max="7424" width="9.1640625" style="916"/>
    <col min="7425" max="7425" width="6.1640625" style="916" customWidth="1"/>
    <col min="7426" max="7426" width="33.33203125" style="916" customWidth="1"/>
    <col min="7427" max="7427" width="18.6640625" style="916" customWidth="1"/>
    <col min="7428" max="7428" width="10.1640625" style="916" customWidth="1"/>
    <col min="7429" max="7429" width="10.6640625" style="916" customWidth="1"/>
    <col min="7430" max="7431" width="9.1640625" style="916"/>
    <col min="7432" max="7432" width="18.33203125" style="916" customWidth="1"/>
    <col min="7433" max="7433" width="19.83203125" style="916" customWidth="1"/>
    <col min="7434" max="7434" width="25" style="916" customWidth="1"/>
    <col min="7435" max="7680" width="9.1640625" style="916"/>
    <col min="7681" max="7681" width="6.1640625" style="916" customWidth="1"/>
    <col min="7682" max="7682" width="33.33203125" style="916" customWidth="1"/>
    <col min="7683" max="7683" width="18.6640625" style="916" customWidth="1"/>
    <col min="7684" max="7684" width="10.1640625" style="916" customWidth="1"/>
    <col min="7685" max="7685" width="10.6640625" style="916" customWidth="1"/>
    <col min="7686" max="7687" width="9.1640625" style="916"/>
    <col min="7688" max="7688" width="18.33203125" style="916" customWidth="1"/>
    <col min="7689" max="7689" width="19.83203125" style="916" customWidth="1"/>
    <col min="7690" max="7690" width="25" style="916" customWidth="1"/>
    <col min="7691" max="7936" width="9.1640625" style="916"/>
    <col min="7937" max="7937" width="6.1640625" style="916" customWidth="1"/>
    <col min="7938" max="7938" width="33.33203125" style="916" customWidth="1"/>
    <col min="7939" max="7939" width="18.6640625" style="916" customWidth="1"/>
    <col min="7940" max="7940" width="10.1640625" style="916" customWidth="1"/>
    <col min="7941" max="7941" width="10.6640625" style="916" customWidth="1"/>
    <col min="7942" max="7943" width="9.1640625" style="916"/>
    <col min="7944" max="7944" width="18.33203125" style="916" customWidth="1"/>
    <col min="7945" max="7945" width="19.83203125" style="916" customWidth="1"/>
    <col min="7946" max="7946" width="25" style="916" customWidth="1"/>
    <col min="7947" max="8192" width="9.1640625" style="916"/>
    <col min="8193" max="8193" width="6.1640625" style="916" customWidth="1"/>
    <col min="8194" max="8194" width="33.33203125" style="916" customWidth="1"/>
    <col min="8195" max="8195" width="18.6640625" style="916" customWidth="1"/>
    <col min="8196" max="8196" width="10.1640625" style="916" customWidth="1"/>
    <col min="8197" max="8197" width="10.6640625" style="916" customWidth="1"/>
    <col min="8198" max="8199" width="9.1640625" style="916"/>
    <col min="8200" max="8200" width="18.33203125" style="916" customWidth="1"/>
    <col min="8201" max="8201" width="19.83203125" style="916" customWidth="1"/>
    <col min="8202" max="8202" width="25" style="916" customWidth="1"/>
    <col min="8203" max="8448" width="9.1640625" style="916"/>
    <col min="8449" max="8449" width="6.1640625" style="916" customWidth="1"/>
    <col min="8450" max="8450" width="33.33203125" style="916" customWidth="1"/>
    <col min="8451" max="8451" width="18.6640625" style="916" customWidth="1"/>
    <col min="8452" max="8452" width="10.1640625" style="916" customWidth="1"/>
    <col min="8453" max="8453" width="10.6640625" style="916" customWidth="1"/>
    <col min="8454" max="8455" width="9.1640625" style="916"/>
    <col min="8456" max="8456" width="18.33203125" style="916" customWidth="1"/>
    <col min="8457" max="8457" width="19.83203125" style="916" customWidth="1"/>
    <col min="8458" max="8458" width="25" style="916" customWidth="1"/>
    <col min="8459" max="8704" width="9.1640625" style="916"/>
    <col min="8705" max="8705" width="6.1640625" style="916" customWidth="1"/>
    <col min="8706" max="8706" width="33.33203125" style="916" customWidth="1"/>
    <col min="8707" max="8707" width="18.6640625" style="916" customWidth="1"/>
    <col min="8708" max="8708" width="10.1640625" style="916" customWidth="1"/>
    <col min="8709" max="8709" width="10.6640625" style="916" customWidth="1"/>
    <col min="8710" max="8711" width="9.1640625" style="916"/>
    <col min="8712" max="8712" width="18.33203125" style="916" customWidth="1"/>
    <col min="8713" max="8713" width="19.83203125" style="916" customWidth="1"/>
    <col min="8714" max="8714" width="25" style="916" customWidth="1"/>
    <col min="8715" max="8960" width="9.1640625" style="916"/>
    <col min="8961" max="8961" width="6.1640625" style="916" customWidth="1"/>
    <col min="8962" max="8962" width="33.33203125" style="916" customWidth="1"/>
    <col min="8963" max="8963" width="18.6640625" style="916" customWidth="1"/>
    <col min="8964" max="8964" width="10.1640625" style="916" customWidth="1"/>
    <col min="8965" max="8965" width="10.6640625" style="916" customWidth="1"/>
    <col min="8966" max="8967" width="9.1640625" style="916"/>
    <col min="8968" max="8968" width="18.33203125" style="916" customWidth="1"/>
    <col min="8969" max="8969" width="19.83203125" style="916" customWidth="1"/>
    <col min="8970" max="8970" width="25" style="916" customWidth="1"/>
    <col min="8971" max="9216" width="9.1640625" style="916"/>
    <col min="9217" max="9217" width="6.1640625" style="916" customWidth="1"/>
    <col min="9218" max="9218" width="33.33203125" style="916" customWidth="1"/>
    <col min="9219" max="9219" width="18.6640625" style="916" customWidth="1"/>
    <col min="9220" max="9220" width="10.1640625" style="916" customWidth="1"/>
    <col min="9221" max="9221" width="10.6640625" style="916" customWidth="1"/>
    <col min="9222" max="9223" width="9.1640625" style="916"/>
    <col min="9224" max="9224" width="18.33203125" style="916" customWidth="1"/>
    <col min="9225" max="9225" width="19.83203125" style="916" customWidth="1"/>
    <col min="9226" max="9226" width="25" style="916" customWidth="1"/>
    <col min="9227" max="9472" width="9.1640625" style="916"/>
    <col min="9473" max="9473" width="6.1640625" style="916" customWidth="1"/>
    <col min="9474" max="9474" width="33.33203125" style="916" customWidth="1"/>
    <col min="9475" max="9475" width="18.6640625" style="916" customWidth="1"/>
    <col min="9476" max="9476" width="10.1640625" style="916" customWidth="1"/>
    <col min="9477" max="9477" width="10.6640625" style="916" customWidth="1"/>
    <col min="9478" max="9479" width="9.1640625" style="916"/>
    <col min="9480" max="9480" width="18.33203125" style="916" customWidth="1"/>
    <col min="9481" max="9481" width="19.83203125" style="916" customWidth="1"/>
    <col min="9482" max="9482" width="25" style="916" customWidth="1"/>
    <col min="9483" max="9728" width="9.1640625" style="916"/>
    <col min="9729" max="9729" width="6.1640625" style="916" customWidth="1"/>
    <col min="9730" max="9730" width="33.33203125" style="916" customWidth="1"/>
    <col min="9731" max="9731" width="18.6640625" style="916" customWidth="1"/>
    <col min="9732" max="9732" width="10.1640625" style="916" customWidth="1"/>
    <col min="9733" max="9733" width="10.6640625" style="916" customWidth="1"/>
    <col min="9734" max="9735" width="9.1640625" style="916"/>
    <col min="9736" max="9736" width="18.33203125" style="916" customWidth="1"/>
    <col min="9737" max="9737" width="19.83203125" style="916" customWidth="1"/>
    <col min="9738" max="9738" width="25" style="916" customWidth="1"/>
    <col min="9739" max="9984" width="9.1640625" style="916"/>
    <col min="9985" max="9985" width="6.1640625" style="916" customWidth="1"/>
    <col min="9986" max="9986" width="33.33203125" style="916" customWidth="1"/>
    <col min="9987" max="9987" width="18.6640625" style="916" customWidth="1"/>
    <col min="9988" max="9988" width="10.1640625" style="916" customWidth="1"/>
    <col min="9989" max="9989" width="10.6640625" style="916" customWidth="1"/>
    <col min="9990" max="9991" width="9.1640625" style="916"/>
    <col min="9992" max="9992" width="18.33203125" style="916" customWidth="1"/>
    <col min="9993" max="9993" width="19.83203125" style="916" customWidth="1"/>
    <col min="9994" max="9994" width="25" style="916" customWidth="1"/>
    <col min="9995" max="10240" width="9.1640625" style="916"/>
    <col min="10241" max="10241" width="6.1640625" style="916" customWidth="1"/>
    <col min="10242" max="10242" width="33.33203125" style="916" customWidth="1"/>
    <col min="10243" max="10243" width="18.6640625" style="916" customWidth="1"/>
    <col min="10244" max="10244" width="10.1640625" style="916" customWidth="1"/>
    <col min="10245" max="10245" width="10.6640625" style="916" customWidth="1"/>
    <col min="10246" max="10247" width="9.1640625" style="916"/>
    <col min="10248" max="10248" width="18.33203125" style="916" customWidth="1"/>
    <col min="10249" max="10249" width="19.83203125" style="916" customWidth="1"/>
    <col min="10250" max="10250" width="25" style="916" customWidth="1"/>
    <col min="10251" max="10496" width="9.1640625" style="916"/>
    <col min="10497" max="10497" width="6.1640625" style="916" customWidth="1"/>
    <col min="10498" max="10498" width="33.33203125" style="916" customWidth="1"/>
    <col min="10499" max="10499" width="18.6640625" style="916" customWidth="1"/>
    <col min="10500" max="10500" width="10.1640625" style="916" customWidth="1"/>
    <col min="10501" max="10501" width="10.6640625" style="916" customWidth="1"/>
    <col min="10502" max="10503" width="9.1640625" style="916"/>
    <col min="10504" max="10504" width="18.33203125" style="916" customWidth="1"/>
    <col min="10505" max="10505" width="19.83203125" style="916" customWidth="1"/>
    <col min="10506" max="10506" width="25" style="916" customWidth="1"/>
    <col min="10507" max="10752" width="9.1640625" style="916"/>
    <col min="10753" max="10753" width="6.1640625" style="916" customWidth="1"/>
    <col min="10754" max="10754" width="33.33203125" style="916" customWidth="1"/>
    <col min="10755" max="10755" width="18.6640625" style="916" customWidth="1"/>
    <col min="10756" max="10756" width="10.1640625" style="916" customWidth="1"/>
    <col min="10757" max="10757" width="10.6640625" style="916" customWidth="1"/>
    <col min="10758" max="10759" width="9.1640625" style="916"/>
    <col min="10760" max="10760" width="18.33203125" style="916" customWidth="1"/>
    <col min="10761" max="10761" width="19.83203125" style="916" customWidth="1"/>
    <col min="10762" max="10762" width="25" style="916" customWidth="1"/>
    <col min="10763" max="11008" width="9.1640625" style="916"/>
    <col min="11009" max="11009" width="6.1640625" style="916" customWidth="1"/>
    <col min="11010" max="11010" width="33.33203125" style="916" customWidth="1"/>
    <col min="11011" max="11011" width="18.6640625" style="916" customWidth="1"/>
    <col min="11012" max="11012" width="10.1640625" style="916" customWidth="1"/>
    <col min="11013" max="11013" width="10.6640625" style="916" customWidth="1"/>
    <col min="11014" max="11015" width="9.1640625" style="916"/>
    <col min="11016" max="11016" width="18.33203125" style="916" customWidth="1"/>
    <col min="11017" max="11017" width="19.83203125" style="916" customWidth="1"/>
    <col min="11018" max="11018" width="25" style="916" customWidth="1"/>
    <col min="11019" max="11264" width="9.1640625" style="916"/>
    <col min="11265" max="11265" width="6.1640625" style="916" customWidth="1"/>
    <col min="11266" max="11266" width="33.33203125" style="916" customWidth="1"/>
    <col min="11267" max="11267" width="18.6640625" style="916" customWidth="1"/>
    <col min="11268" max="11268" width="10.1640625" style="916" customWidth="1"/>
    <col min="11269" max="11269" width="10.6640625" style="916" customWidth="1"/>
    <col min="11270" max="11271" width="9.1640625" style="916"/>
    <col min="11272" max="11272" width="18.33203125" style="916" customWidth="1"/>
    <col min="11273" max="11273" width="19.83203125" style="916" customWidth="1"/>
    <col min="11274" max="11274" width="25" style="916" customWidth="1"/>
    <col min="11275" max="11520" width="9.1640625" style="916"/>
    <col min="11521" max="11521" width="6.1640625" style="916" customWidth="1"/>
    <col min="11522" max="11522" width="33.33203125" style="916" customWidth="1"/>
    <col min="11523" max="11523" width="18.6640625" style="916" customWidth="1"/>
    <col min="11524" max="11524" width="10.1640625" style="916" customWidth="1"/>
    <col min="11525" max="11525" width="10.6640625" style="916" customWidth="1"/>
    <col min="11526" max="11527" width="9.1640625" style="916"/>
    <col min="11528" max="11528" width="18.33203125" style="916" customWidth="1"/>
    <col min="11529" max="11529" width="19.83203125" style="916" customWidth="1"/>
    <col min="11530" max="11530" width="25" style="916" customWidth="1"/>
    <col min="11531" max="11776" width="9.1640625" style="916"/>
    <col min="11777" max="11777" width="6.1640625" style="916" customWidth="1"/>
    <col min="11778" max="11778" width="33.33203125" style="916" customWidth="1"/>
    <col min="11779" max="11779" width="18.6640625" style="916" customWidth="1"/>
    <col min="11780" max="11780" width="10.1640625" style="916" customWidth="1"/>
    <col min="11781" max="11781" width="10.6640625" style="916" customWidth="1"/>
    <col min="11782" max="11783" width="9.1640625" style="916"/>
    <col min="11784" max="11784" width="18.33203125" style="916" customWidth="1"/>
    <col min="11785" max="11785" width="19.83203125" style="916" customWidth="1"/>
    <col min="11786" max="11786" width="25" style="916" customWidth="1"/>
    <col min="11787" max="12032" width="9.1640625" style="916"/>
    <col min="12033" max="12033" width="6.1640625" style="916" customWidth="1"/>
    <col min="12034" max="12034" width="33.33203125" style="916" customWidth="1"/>
    <col min="12035" max="12035" width="18.6640625" style="916" customWidth="1"/>
    <col min="12036" max="12036" width="10.1640625" style="916" customWidth="1"/>
    <col min="12037" max="12037" width="10.6640625" style="916" customWidth="1"/>
    <col min="12038" max="12039" width="9.1640625" style="916"/>
    <col min="12040" max="12040" width="18.33203125" style="916" customWidth="1"/>
    <col min="12041" max="12041" width="19.83203125" style="916" customWidth="1"/>
    <col min="12042" max="12042" width="25" style="916" customWidth="1"/>
    <col min="12043" max="12288" width="9.1640625" style="916"/>
    <col min="12289" max="12289" width="6.1640625" style="916" customWidth="1"/>
    <col min="12290" max="12290" width="33.33203125" style="916" customWidth="1"/>
    <col min="12291" max="12291" width="18.6640625" style="916" customWidth="1"/>
    <col min="12292" max="12292" width="10.1640625" style="916" customWidth="1"/>
    <col min="12293" max="12293" width="10.6640625" style="916" customWidth="1"/>
    <col min="12294" max="12295" width="9.1640625" style="916"/>
    <col min="12296" max="12296" width="18.33203125" style="916" customWidth="1"/>
    <col min="12297" max="12297" width="19.83203125" style="916" customWidth="1"/>
    <col min="12298" max="12298" width="25" style="916" customWidth="1"/>
    <col min="12299" max="12544" width="9.1640625" style="916"/>
    <col min="12545" max="12545" width="6.1640625" style="916" customWidth="1"/>
    <col min="12546" max="12546" width="33.33203125" style="916" customWidth="1"/>
    <col min="12547" max="12547" width="18.6640625" style="916" customWidth="1"/>
    <col min="12548" max="12548" width="10.1640625" style="916" customWidth="1"/>
    <col min="12549" max="12549" width="10.6640625" style="916" customWidth="1"/>
    <col min="12550" max="12551" width="9.1640625" style="916"/>
    <col min="12552" max="12552" width="18.33203125" style="916" customWidth="1"/>
    <col min="12553" max="12553" width="19.83203125" style="916" customWidth="1"/>
    <col min="12554" max="12554" width="25" style="916" customWidth="1"/>
    <col min="12555" max="12800" width="9.1640625" style="916"/>
    <col min="12801" max="12801" width="6.1640625" style="916" customWidth="1"/>
    <col min="12802" max="12802" width="33.33203125" style="916" customWidth="1"/>
    <col min="12803" max="12803" width="18.6640625" style="916" customWidth="1"/>
    <col min="12804" max="12804" width="10.1640625" style="916" customWidth="1"/>
    <col min="12805" max="12805" width="10.6640625" style="916" customWidth="1"/>
    <col min="12806" max="12807" width="9.1640625" style="916"/>
    <col min="12808" max="12808" width="18.33203125" style="916" customWidth="1"/>
    <col min="12809" max="12809" width="19.83203125" style="916" customWidth="1"/>
    <col min="12810" max="12810" width="25" style="916" customWidth="1"/>
    <col min="12811" max="13056" width="9.1640625" style="916"/>
    <col min="13057" max="13057" width="6.1640625" style="916" customWidth="1"/>
    <col min="13058" max="13058" width="33.33203125" style="916" customWidth="1"/>
    <col min="13059" max="13059" width="18.6640625" style="916" customWidth="1"/>
    <col min="13060" max="13060" width="10.1640625" style="916" customWidth="1"/>
    <col min="13061" max="13061" width="10.6640625" style="916" customWidth="1"/>
    <col min="13062" max="13063" width="9.1640625" style="916"/>
    <col min="13064" max="13064" width="18.33203125" style="916" customWidth="1"/>
    <col min="13065" max="13065" width="19.83203125" style="916" customWidth="1"/>
    <col min="13066" max="13066" width="25" style="916" customWidth="1"/>
    <col min="13067" max="13312" width="9.1640625" style="916"/>
    <col min="13313" max="13313" width="6.1640625" style="916" customWidth="1"/>
    <col min="13314" max="13314" width="33.33203125" style="916" customWidth="1"/>
    <col min="13315" max="13315" width="18.6640625" style="916" customWidth="1"/>
    <col min="13316" max="13316" width="10.1640625" style="916" customWidth="1"/>
    <col min="13317" max="13317" width="10.6640625" style="916" customWidth="1"/>
    <col min="13318" max="13319" width="9.1640625" style="916"/>
    <col min="13320" max="13320" width="18.33203125" style="916" customWidth="1"/>
    <col min="13321" max="13321" width="19.83203125" style="916" customWidth="1"/>
    <col min="13322" max="13322" width="25" style="916" customWidth="1"/>
    <col min="13323" max="13568" width="9.1640625" style="916"/>
    <col min="13569" max="13569" width="6.1640625" style="916" customWidth="1"/>
    <col min="13570" max="13570" width="33.33203125" style="916" customWidth="1"/>
    <col min="13571" max="13571" width="18.6640625" style="916" customWidth="1"/>
    <col min="13572" max="13572" width="10.1640625" style="916" customWidth="1"/>
    <col min="13573" max="13573" width="10.6640625" style="916" customWidth="1"/>
    <col min="13574" max="13575" width="9.1640625" style="916"/>
    <col min="13576" max="13576" width="18.33203125" style="916" customWidth="1"/>
    <col min="13577" max="13577" width="19.83203125" style="916" customWidth="1"/>
    <col min="13578" max="13578" width="25" style="916" customWidth="1"/>
    <col min="13579" max="13824" width="9.1640625" style="916"/>
    <col min="13825" max="13825" width="6.1640625" style="916" customWidth="1"/>
    <col min="13826" max="13826" width="33.33203125" style="916" customWidth="1"/>
    <col min="13827" max="13827" width="18.6640625" style="916" customWidth="1"/>
    <col min="13828" max="13828" width="10.1640625" style="916" customWidth="1"/>
    <col min="13829" max="13829" width="10.6640625" style="916" customWidth="1"/>
    <col min="13830" max="13831" width="9.1640625" style="916"/>
    <col min="13832" max="13832" width="18.33203125" style="916" customWidth="1"/>
    <col min="13833" max="13833" width="19.83203125" style="916" customWidth="1"/>
    <col min="13834" max="13834" width="25" style="916" customWidth="1"/>
    <col min="13835" max="14080" width="9.1640625" style="916"/>
    <col min="14081" max="14081" width="6.1640625" style="916" customWidth="1"/>
    <col min="14082" max="14082" width="33.33203125" style="916" customWidth="1"/>
    <col min="14083" max="14083" width="18.6640625" style="916" customWidth="1"/>
    <col min="14084" max="14084" width="10.1640625" style="916" customWidth="1"/>
    <col min="14085" max="14085" width="10.6640625" style="916" customWidth="1"/>
    <col min="14086" max="14087" width="9.1640625" style="916"/>
    <col min="14088" max="14088" width="18.33203125" style="916" customWidth="1"/>
    <col min="14089" max="14089" width="19.83203125" style="916" customWidth="1"/>
    <col min="14090" max="14090" width="25" style="916" customWidth="1"/>
    <col min="14091" max="14336" width="9.1640625" style="916"/>
    <col min="14337" max="14337" width="6.1640625" style="916" customWidth="1"/>
    <col min="14338" max="14338" width="33.33203125" style="916" customWidth="1"/>
    <col min="14339" max="14339" width="18.6640625" style="916" customWidth="1"/>
    <col min="14340" max="14340" width="10.1640625" style="916" customWidth="1"/>
    <col min="14341" max="14341" width="10.6640625" style="916" customWidth="1"/>
    <col min="14342" max="14343" width="9.1640625" style="916"/>
    <col min="14344" max="14344" width="18.33203125" style="916" customWidth="1"/>
    <col min="14345" max="14345" width="19.83203125" style="916" customWidth="1"/>
    <col min="14346" max="14346" width="25" style="916" customWidth="1"/>
    <col min="14347" max="14592" width="9.1640625" style="916"/>
    <col min="14593" max="14593" width="6.1640625" style="916" customWidth="1"/>
    <col min="14594" max="14594" width="33.33203125" style="916" customWidth="1"/>
    <col min="14595" max="14595" width="18.6640625" style="916" customWidth="1"/>
    <col min="14596" max="14596" width="10.1640625" style="916" customWidth="1"/>
    <col min="14597" max="14597" width="10.6640625" style="916" customWidth="1"/>
    <col min="14598" max="14599" width="9.1640625" style="916"/>
    <col min="14600" max="14600" width="18.33203125" style="916" customWidth="1"/>
    <col min="14601" max="14601" width="19.83203125" style="916" customWidth="1"/>
    <col min="14602" max="14602" width="25" style="916" customWidth="1"/>
    <col min="14603" max="14848" width="9.1640625" style="916"/>
    <col min="14849" max="14849" width="6.1640625" style="916" customWidth="1"/>
    <col min="14850" max="14850" width="33.33203125" style="916" customWidth="1"/>
    <col min="14851" max="14851" width="18.6640625" style="916" customWidth="1"/>
    <col min="14852" max="14852" width="10.1640625" style="916" customWidth="1"/>
    <col min="14853" max="14853" width="10.6640625" style="916" customWidth="1"/>
    <col min="14854" max="14855" width="9.1640625" style="916"/>
    <col min="14856" max="14856" width="18.33203125" style="916" customWidth="1"/>
    <col min="14857" max="14857" width="19.83203125" style="916" customWidth="1"/>
    <col min="14858" max="14858" width="25" style="916" customWidth="1"/>
    <col min="14859" max="15104" width="9.1640625" style="916"/>
    <col min="15105" max="15105" width="6.1640625" style="916" customWidth="1"/>
    <col min="15106" max="15106" width="33.33203125" style="916" customWidth="1"/>
    <col min="15107" max="15107" width="18.6640625" style="916" customWidth="1"/>
    <col min="15108" max="15108" width="10.1640625" style="916" customWidth="1"/>
    <col min="15109" max="15109" width="10.6640625" style="916" customWidth="1"/>
    <col min="15110" max="15111" width="9.1640625" style="916"/>
    <col min="15112" max="15112" width="18.33203125" style="916" customWidth="1"/>
    <col min="15113" max="15113" width="19.83203125" style="916" customWidth="1"/>
    <col min="15114" max="15114" width="25" style="916" customWidth="1"/>
    <col min="15115" max="15360" width="9.1640625" style="916"/>
    <col min="15361" max="15361" width="6.1640625" style="916" customWidth="1"/>
    <col min="15362" max="15362" width="33.33203125" style="916" customWidth="1"/>
    <col min="15363" max="15363" width="18.6640625" style="916" customWidth="1"/>
    <col min="15364" max="15364" width="10.1640625" style="916" customWidth="1"/>
    <col min="15365" max="15365" width="10.6640625" style="916" customWidth="1"/>
    <col min="15366" max="15367" width="9.1640625" style="916"/>
    <col min="15368" max="15368" width="18.33203125" style="916" customWidth="1"/>
    <col min="15369" max="15369" width="19.83203125" style="916" customWidth="1"/>
    <col min="15370" max="15370" width="25" style="916" customWidth="1"/>
    <col min="15371" max="15616" width="9.1640625" style="916"/>
    <col min="15617" max="15617" width="6.1640625" style="916" customWidth="1"/>
    <col min="15618" max="15618" width="33.33203125" style="916" customWidth="1"/>
    <col min="15619" max="15619" width="18.6640625" style="916" customWidth="1"/>
    <col min="15620" max="15620" width="10.1640625" style="916" customWidth="1"/>
    <col min="15621" max="15621" width="10.6640625" style="916" customWidth="1"/>
    <col min="15622" max="15623" width="9.1640625" style="916"/>
    <col min="15624" max="15624" width="18.33203125" style="916" customWidth="1"/>
    <col min="15625" max="15625" width="19.83203125" style="916" customWidth="1"/>
    <col min="15626" max="15626" width="25" style="916" customWidth="1"/>
    <col min="15627" max="15872" width="9.1640625" style="916"/>
    <col min="15873" max="15873" width="6.1640625" style="916" customWidth="1"/>
    <col min="15874" max="15874" width="33.33203125" style="916" customWidth="1"/>
    <col min="15875" max="15875" width="18.6640625" style="916" customWidth="1"/>
    <col min="15876" max="15876" width="10.1640625" style="916" customWidth="1"/>
    <col min="15877" max="15877" width="10.6640625" style="916" customWidth="1"/>
    <col min="15878" max="15879" width="9.1640625" style="916"/>
    <col min="15880" max="15880" width="18.33203125" style="916" customWidth="1"/>
    <col min="15881" max="15881" width="19.83203125" style="916" customWidth="1"/>
    <col min="15882" max="15882" width="25" style="916" customWidth="1"/>
    <col min="15883" max="16128" width="9.1640625" style="916"/>
    <col min="16129" max="16129" width="6.1640625" style="916" customWidth="1"/>
    <col min="16130" max="16130" width="33.33203125" style="916" customWidth="1"/>
    <col min="16131" max="16131" width="18.6640625" style="916" customWidth="1"/>
    <col min="16132" max="16132" width="10.1640625" style="916" customWidth="1"/>
    <col min="16133" max="16133" width="10.6640625" style="916" customWidth="1"/>
    <col min="16134" max="16135" width="9.1640625" style="916"/>
    <col min="16136" max="16136" width="18.33203125" style="916" customWidth="1"/>
    <col min="16137" max="16137" width="19.83203125" style="916" customWidth="1"/>
    <col min="16138" max="16138" width="25" style="916" customWidth="1"/>
    <col min="16139" max="16384" width="9.1640625" style="916"/>
  </cols>
  <sheetData>
    <row r="1" spans="1:10" ht="16">
      <c r="A1" s="913"/>
      <c r="B1" s="913"/>
      <c r="C1" s="914"/>
      <c r="D1" s="913"/>
      <c r="E1" s="915"/>
      <c r="F1" s="913"/>
      <c r="G1" s="913"/>
      <c r="H1" s="913"/>
      <c r="I1" s="913"/>
      <c r="J1" s="913"/>
    </row>
    <row r="2" spans="1:10" ht="16">
      <c r="A2" s="1955" t="s">
        <v>134</v>
      </c>
      <c r="B2" s="1955"/>
      <c r="C2" s="1956" t="s">
        <v>1265</v>
      </c>
      <c r="D2" s="1956"/>
      <c r="E2" s="1956"/>
      <c r="F2" s="1956"/>
      <c r="G2" s="1956"/>
      <c r="H2" s="1956"/>
      <c r="I2" s="1956"/>
      <c r="J2" s="821" t="s">
        <v>366</v>
      </c>
    </row>
    <row r="3" spans="1:10" ht="18">
      <c r="A3" s="1957" t="s">
        <v>1009</v>
      </c>
      <c r="B3" s="1957"/>
      <c r="C3" s="1956"/>
      <c r="D3" s="1956"/>
      <c r="E3" s="1956"/>
      <c r="F3" s="1956"/>
      <c r="G3" s="1956"/>
      <c r="H3" s="1956"/>
      <c r="I3" s="1956"/>
      <c r="J3" s="822"/>
    </row>
    <row r="4" spans="1:10" ht="19" thickBot="1">
      <c r="A4" s="822"/>
      <c r="B4" s="822"/>
      <c r="C4" s="822"/>
      <c r="D4" s="822"/>
      <c r="E4" s="822"/>
      <c r="F4" s="822"/>
      <c r="G4" s="822"/>
      <c r="H4" s="822"/>
      <c r="I4" s="822"/>
      <c r="J4" s="822"/>
    </row>
    <row r="5" spans="1:10" ht="69" thickTop="1">
      <c r="A5" s="1391" t="s">
        <v>50</v>
      </c>
      <c r="B5" s="1392" t="s">
        <v>777</v>
      </c>
      <c r="C5" s="1392" t="s">
        <v>732</v>
      </c>
      <c r="D5" s="1393" t="s">
        <v>778</v>
      </c>
      <c r="E5" s="1393" t="s">
        <v>733</v>
      </c>
      <c r="F5" s="1393" t="s">
        <v>734</v>
      </c>
      <c r="G5" s="1393" t="s">
        <v>1266</v>
      </c>
      <c r="H5" s="1393" t="s">
        <v>1267</v>
      </c>
      <c r="I5" s="1393" t="s">
        <v>1268</v>
      </c>
      <c r="J5" s="1394" t="s">
        <v>1269</v>
      </c>
    </row>
    <row r="6" spans="1:10" s="917" customFormat="1" ht="34">
      <c r="A6" s="1395">
        <v>1</v>
      </c>
      <c r="B6" s="952" t="s">
        <v>1270</v>
      </c>
      <c r="C6" s="952" t="s">
        <v>1270</v>
      </c>
      <c r="D6" s="823" t="s">
        <v>1271</v>
      </c>
      <c r="E6" s="952" t="s">
        <v>1272</v>
      </c>
      <c r="F6" s="953">
        <v>3</v>
      </c>
      <c r="G6" s="952" t="s">
        <v>1273</v>
      </c>
      <c r="H6" s="824" t="s">
        <v>579</v>
      </c>
      <c r="I6" s="917" t="s">
        <v>728</v>
      </c>
      <c r="J6" s="1396" t="s">
        <v>1274</v>
      </c>
    </row>
    <row r="7" spans="1:10" s="917" customFormat="1" ht="51">
      <c r="A7" s="1395">
        <v>2</v>
      </c>
      <c r="B7" s="952" t="s">
        <v>1275</v>
      </c>
      <c r="C7" s="952" t="s">
        <v>1275</v>
      </c>
      <c r="D7" s="823" t="s">
        <v>779</v>
      </c>
      <c r="E7" s="952" t="s">
        <v>1276</v>
      </c>
      <c r="F7" s="953">
        <v>5</v>
      </c>
      <c r="G7" s="952" t="s">
        <v>1277</v>
      </c>
      <c r="H7" s="824" t="s">
        <v>705</v>
      </c>
      <c r="I7" s="824" t="s">
        <v>1278</v>
      </c>
      <c r="J7" s="1396" t="s">
        <v>1274</v>
      </c>
    </row>
    <row r="8" spans="1:10" s="917" customFormat="1" ht="51">
      <c r="A8" s="1397">
        <v>3</v>
      </c>
      <c r="B8" s="952" t="s">
        <v>1279</v>
      </c>
      <c r="C8" s="952" t="s">
        <v>1279</v>
      </c>
      <c r="D8" s="953" t="s">
        <v>779</v>
      </c>
      <c r="E8" s="952" t="s">
        <v>1280</v>
      </c>
      <c r="F8" s="953">
        <v>5</v>
      </c>
      <c r="G8" s="952" t="s">
        <v>1277</v>
      </c>
      <c r="H8" s="824" t="s">
        <v>1281</v>
      </c>
      <c r="I8" s="824" t="s">
        <v>1282</v>
      </c>
      <c r="J8" s="1396" t="s">
        <v>1274</v>
      </c>
    </row>
    <row r="9" spans="1:10" s="917" customFormat="1" ht="34">
      <c r="A9" s="1397">
        <v>4</v>
      </c>
      <c r="B9" s="952" t="s">
        <v>1283</v>
      </c>
      <c r="C9" s="952" t="s">
        <v>1283</v>
      </c>
      <c r="D9" s="953" t="s">
        <v>779</v>
      </c>
      <c r="E9" s="952" t="s">
        <v>1284</v>
      </c>
      <c r="F9" s="953">
        <v>5</v>
      </c>
      <c r="G9" s="952" t="s">
        <v>1285</v>
      </c>
      <c r="H9" s="824" t="s">
        <v>1286</v>
      </c>
      <c r="I9" s="824" t="s">
        <v>1287</v>
      </c>
      <c r="J9" s="1396" t="s">
        <v>1274</v>
      </c>
    </row>
    <row r="10" spans="1:10" s="917" customFormat="1" ht="34">
      <c r="A10" s="1397">
        <v>5</v>
      </c>
      <c r="B10" s="952" t="s">
        <v>628</v>
      </c>
      <c r="C10" s="954" t="s">
        <v>628</v>
      </c>
      <c r="D10" s="953" t="s">
        <v>779</v>
      </c>
      <c r="E10" s="952" t="s">
        <v>846</v>
      </c>
      <c r="F10" s="953">
        <v>4</v>
      </c>
      <c r="G10" s="952" t="s">
        <v>1285</v>
      </c>
      <c r="H10" s="824" t="s">
        <v>291</v>
      </c>
      <c r="I10" s="824" t="s">
        <v>646</v>
      </c>
      <c r="J10" s="1398" t="s">
        <v>1274</v>
      </c>
    </row>
    <row r="11" spans="1:10" s="917" customFormat="1" ht="34">
      <c r="A11" s="1397">
        <v>6</v>
      </c>
      <c r="B11" s="1762" t="s">
        <v>1349</v>
      </c>
      <c r="C11" s="1762" t="s">
        <v>1350</v>
      </c>
      <c r="D11" s="843" t="s">
        <v>779</v>
      </c>
      <c r="E11" s="843" t="s">
        <v>1351</v>
      </c>
      <c r="F11" s="842">
        <v>3</v>
      </c>
      <c r="G11" s="843" t="s">
        <v>1285</v>
      </c>
      <c r="H11" s="1734" t="s">
        <v>1352</v>
      </c>
      <c r="I11" s="1735" t="s">
        <v>727</v>
      </c>
      <c r="J11" s="1736" t="s">
        <v>1353</v>
      </c>
    </row>
    <row r="12" spans="1:10" s="917" customFormat="1" ht="34">
      <c r="A12" s="1733">
        <v>7</v>
      </c>
      <c r="B12" s="1763" t="s">
        <v>1588</v>
      </c>
      <c r="C12" s="1760" t="s">
        <v>1589</v>
      </c>
      <c r="D12" s="1761" t="s">
        <v>779</v>
      </c>
      <c r="E12" s="1764" t="s">
        <v>1590</v>
      </c>
      <c r="F12" s="1761">
        <v>5</v>
      </c>
      <c r="G12" s="1760" t="s">
        <v>1591</v>
      </c>
      <c r="H12" s="1760" t="s">
        <v>719</v>
      </c>
      <c r="I12" s="1760" t="s">
        <v>716</v>
      </c>
      <c r="J12" s="1765" t="s">
        <v>1353</v>
      </c>
    </row>
    <row r="13" spans="1:10" ht="18" thickBot="1">
      <c r="A13" s="1399"/>
      <c r="B13" s="1400" t="s">
        <v>350</v>
      </c>
      <c r="C13" s="1401"/>
      <c r="D13" s="1402"/>
      <c r="E13" s="1403"/>
      <c r="F13" s="1402">
        <f>SUM(F6:F12)</f>
        <v>30</v>
      </c>
      <c r="G13" s="1403"/>
      <c r="H13" s="1403"/>
      <c r="I13" s="1403"/>
      <c r="J13" s="1404"/>
    </row>
    <row r="14" spans="1:10" ht="18" customHeight="1" thickTop="1">
      <c r="A14" s="950"/>
      <c r="B14" s="951"/>
      <c r="C14" s="950" t="s">
        <v>1354</v>
      </c>
      <c r="D14" s="950"/>
      <c r="E14" s="950"/>
      <c r="F14" s="950"/>
      <c r="G14" s="950"/>
      <c r="H14" s="950"/>
      <c r="I14" s="950"/>
      <c r="J14" s="867"/>
    </row>
    <row r="15" spans="1:10" ht="18" customHeight="1">
      <c r="A15" s="822"/>
      <c r="B15" s="822"/>
      <c r="C15" s="914"/>
      <c r="D15" s="825"/>
      <c r="E15" s="825"/>
      <c r="F15" s="1958" t="s">
        <v>929</v>
      </c>
      <c r="G15" s="1958"/>
      <c r="H15" s="1958"/>
      <c r="I15" s="1958"/>
      <c r="J15" s="1958"/>
    </row>
    <row r="16" spans="1:10" ht="18">
      <c r="A16" s="822"/>
      <c r="B16" s="822"/>
      <c r="C16" s="914"/>
      <c r="D16" s="826"/>
      <c r="E16" s="826"/>
      <c r="F16" s="1959" t="s">
        <v>1580</v>
      </c>
      <c r="G16" s="1959"/>
      <c r="H16" s="1959"/>
      <c r="I16" s="1959"/>
      <c r="J16" s="1959"/>
    </row>
    <row r="17" spans="1:11" ht="18">
      <c r="A17" s="822"/>
      <c r="B17" s="822"/>
      <c r="C17" s="914"/>
      <c r="D17" s="826"/>
      <c r="E17" s="826"/>
      <c r="F17" s="1772"/>
      <c r="G17" s="1772"/>
      <c r="H17" s="1772"/>
      <c r="I17" s="1772"/>
      <c r="J17" s="1772"/>
    </row>
    <row r="18" spans="1:11" ht="18">
      <c r="A18" s="822"/>
      <c r="B18" s="822"/>
      <c r="C18" s="914"/>
      <c r="D18" s="826"/>
      <c r="E18" s="826"/>
      <c r="F18" s="1772"/>
      <c r="G18" s="1772"/>
      <c r="H18" s="1772"/>
      <c r="I18" s="1772"/>
      <c r="J18" s="1772"/>
    </row>
    <row r="19" spans="1:11" ht="16" customHeight="1">
      <c r="A19" s="914"/>
      <c r="B19" s="914"/>
      <c r="C19" s="913"/>
      <c r="D19" s="915"/>
      <c r="E19" s="913"/>
      <c r="F19" s="913"/>
      <c r="G19" s="913"/>
      <c r="H19" s="913"/>
      <c r="I19" s="913"/>
      <c r="J19" s="913"/>
    </row>
    <row r="20" spans="1:11" ht="16">
      <c r="A20" s="914"/>
      <c r="B20" s="914"/>
      <c r="C20" s="913"/>
      <c r="D20" s="915"/>
      <c r="E20" s="913"/>
      <c r="F20" s="1954" t="s">
        <v>1454</v>
      </c>
      <c r="G20" s="1954"/>
      <c r="H20" s="1954"/>
      <c r="I20" s="1954"/>
      <c r="J20" s="1954"/>
      <c r="K20" s="1812"/>
    </row>
    <row r="21" spans="1:11" ht="16">
      <c r="A21" s="914"/>
      <c r="B21" s="914"/>
      <c r="C21" s="913"/>
      <c r="D21" s="915"/>
      <c r="E21" s="913"/>
      <c r="F21" s="913"/>
      <c r="G21" s="913"/>
    </row>
  </sheetData>
  <mergeCells count="6">
    <mergeCell ref="F20:J20"/>
    <mergeCell ref="A2:B2"/>
    <mergeCell ref="C2:I3"/>
    <mergeCell ref="A3:B3"/>
    <mergeCell ref="F15:J15"/>
    <mergeCell ref="F16:J16"/>
  </mergeCells>
  <pageMargins left="0.53" right="0.51" top="0.75" bottom="0.75" header="0.3" footer="0.3"/>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2"/>
  <sheetViews>
    <sheetView view="pageBreakPreview" topLeftCell="A7" zoomScale="115" zoomScaleNormal="100" zoomScaleSheetLayoutView="115" workbookViewId="0">
      <selection activeCell="J14" sqref="J14"/>
    </sheetView>
  </sheetViews>
  <sheetFormatPr baseColWidth="10" defaultColWidth="9.1640625" defaultRowHeight="16"/>
  <cols>
    <col min="1" max="1" width="5.83203125" style="25" customWidth="1"/>
    <col min="2" max="2" width="36.1640625" style="25" customWidth="1"/>
    <col min="3" max="3" width="9.5" style="25" customWidth="1"/>
    <col min="4" max="4" width="12.5" style="25" customWidth="1"/>
    <col min="5" max="5" width="10.1640625" style="25" customWidth="1"/>
    <col min="6" max="6" width="13.1640625" style="25" customWidth="1"/>
    <col min="7" max="7" width="16.33203125" style="25" bestFit="1" customWidth="1"/>
    <col min="8" max="16384" width="9.1640625" style="25"/>
  </cols>
  <sheetData>
    <row r="1" spans="1:7" ht="17" customHeight="1">
      <c r="A1" s="1960" t="s">
        <v>3</v>
      </c>
      <c r="B1" s="1960"/>
      <c r="C1" s="819"/>
      <c r="G1" s="820" t="s">
        <v>238</v>
      </c>
    </row>
    <row r="2" spans="1:7" ht="17" customHeight="1">
      <c r="A2" s="1906" t="s">
        <v>491</v>
      </c>
      <c r="B2" s="1906"/>
      <c r="C2" s="818"/>
    </row>
    <row r="3" spans="1:7" ht="23.25" customHeight="1">
      <c r="A3" s="1906" t="s">
        <v>176</v>
      </c>
      <c r="B3" s="1906"/>
      <c r="C3" s="1906"/>
      <c r="D3" s="1906"/>
      <c r="E3" s="1906"/>
      <c r="F3" s="1906"/>
      <c r="G3" s="1906"/>
    </row>
    <row r="4" spans="1:7">
      <c r="F4" s="1962" t="s">
        <v>82</v>
      </c>
      <c r="G4" s="1962"/>
    </row>
    <row r="5" spans="1:7" s="818" customFormat="1" ht="78.75" customHeight="1">
      <c r="A5" s="829" t="s">
        <v>50</v>
      </c>
      <c r="B5" s="829" t="s">
        <v>177</v>
      </c>
      <c r="C5" s="830" t="s">
        <v>182</v>
      </c>
      <c r="D5" s="830" t="s">
        <v>181</v>
      </c>
      <c r="E5" s="830" t="s">
        <v>183</v>
      </c>
      <c r="F5" s="830" t="s">
        <v>1621</v>
      </c>
      <c r="G5" s="829" t="s">
        <v>2</v>
      </c>
    </row>
    <row r="6" spans="1:7" s="26" customFormat="1" ht="34">
      <c r="A6" s="829" t="s">
        <v>6</v>
      </c>
      <c r="B6" s="1081" t="s">
        <v>178</v>
      </c>
      <c r="C6" s="1082"/>
      <c r="D6" s="1083"/>
      <c r="E6" s="1083"/>
      <c r="F6" s="1082"/>
      <c r="G6" s="1082"/>
    </row>
    <row r="7" spans="1:7" ht="31" customHeight="1">
      <c r="A7" s="829" t="s">
        <v>7</v>
      </c>
      <c r="B7" s="1084" t="s">
        <v>179</v>
      </c>
      <c r="C7" s="1084"/>
      <c r="D7" s="1085"/>
      <c r="E7" s="1085"/>
      <c r="F7" s="1086"/>
      <c r="G7" s="1086"/>
    </row>
    <row r="8" spans="1:7" ht="26" customHeight="1">
      <c r="A8" s="829" t="s">
        <v>24</v>
      </c>
      <c r="B8" s="1082" t="s">
        <v>180</v>
      </c>
      <c r="C8" s="1082"/>
      <c r="D8" s="1086"/>
      <c r="E8" s="1086"/>
      <c r="F8" s="1086"/>
      <c r="G8" s="1086"/>
    </row>
    <row r="9" spans="1:7" ht="41.25" customHeight="1">
      <c r="A9" s="1083">
        <v>1</v>
      </c>
      <c r="B9" s="1087" t="s">
        <v>847</v>
      </c>
      <c r="C9" s="1088">
        <v>500</v>
      </c>
      <c r="D9" s="1088">
        <v>3500</v>
      </c>
      <c r="E9" s="1089">
        <v>200</v>
      </c>
      <c r="F9" s="1088">
        <f>C9*(D9+E9)*0.65</f>
        <v>1202500</v>
      </c>
      <c r="G9" s="1085"/>
    </row>
    <row r="10" spans="1:7" ht="41.25" customHeight="1">
      <c r="A10" s="1083">
        <v>2</v>
      </c>
      <c r="B10" s="1087" t="s">
        <v>1301</v>
      </c>
      <c r="C10" s="1090">
        <v>5000</v>
      </c>
      <c r="D10" s="1090">
        <v>2600</v>
      </c>
      <c r="E10" s="1089">
        <v>200</v>
      </c>
      <c r="F10" s="1088">
        <f t="shared" ref="F10:F18" si="0">C10*(D10+E10)*0.65</f>
        <v>9100000</v>
      </c>
      <c r="G10" s="1086" t="s">
        <v>1302</v>
      </c>
    </row>
    <row r="11" spans="1:7" ht="41.25" customHeight="1">
      <c r="A11" s="1083">
        <v>3</v>
      </c>
      <c r="B11" s="1087" t="s">
        <v>1301</v>
      </c>
      <c r="C11" s="1088">
        <v>2000</v>
      </c>
      <c r="D11" s="1088">
        <v>2600</v>
      </c>
      <c r="E11" s="1089">
        <v>200</v>
      </c>
      <c r="F11" s="1088">
        <f>C11*(D11+E11)*0.3</f>
        <v>1680000</v>
      </c>
      <c r="G11" s="1086" t="s">
        <v>848</v>
      </c>
    </row>
    <row r="12" spans="1:7" ht="19.5" customHeight="1">
      <c r="A12" s="1083">
        <v>4</v>
      </c>
      <c r="B12" s="1087" t="s">
        <v>1303</v>
      </c>
      <c r="C12" s="1088">
        <v>2500</v>
      </c>
      <c r="D12" s="1088">
        <v>2600</v>
      </c>
      <c r="E12" s="1089">
        <v>200</v>
      </c>
      <c r="F12" s="1088">
        <f t="shared" si="0"/>
        <v>4550000</v>
      </c>
      <c r="G12" s="1086"/>
    </row>
    <row r="13" spans="1:7" ht="19.5" customHeight="1">
      <c r="A13" s="1083">
        <v>5</v>
      </c>
      <c r="B13" s="1087" t="s">
        <v>1304</v>
      </c>
      <c r="C13" s="1088">
        <v>500</v>
      </c>
      <c r="D13" s="1088">
        <v>3000</v>
      </c>
      <c r="E13" s="1089">
        <v>200</v>
      </c>
      <c r="F13" s="1088">
        <f t="shared" si="0"/>
        <v>1040000</v>
      </c>
      <c r="G13" s="1086"/>
    </row>
    <row r="14" spans="1:7" ht="37.5" customHeight="1">
      <c r="A14" s="1083">
        <v>6</v>
      </c>
      <c r="B14" s="1087" t="s">
        <v>1305</v>
      </c>
      <c r="C14" s="1088">
        <v>1400</v>
      </c>
      <c r="D14" s="1088">
        <v>3000</v>
      </c>
      <c r="E14" s="1089">
        <v>200</v>
      </c>
      <c r="F14" s="1088">
        <f t="shared" si="0"/>
        <v>2912000</v>
      </c>
      <c r="G14" s="1086"/>
    </row>
    <row r="15" spans="1:7" ht="18" customHeight="1">
      <c r="A15" s="1083">
        <v>7</v>
      </c>
      <c r="B15" s="1087" t="s">
        <v>1306</v>
      </c>
      <c r="C15" s="1088">
        <v>500</v>
      </c>
      <c r="D15" s="1088">
        <v>2600</v>
      </c>
      <c r="E15" s="1089">
        <v>200</v>
      </c>
      <c r="F15" s="1088">
        <f t="shared" si="0"/>
        <v>910000</v>
      </c>
      <c r="G15" s="1086"/>
    </row>
    <row r="16" spans="1:7" ht="18" customHeight="1">
      <c r="A16" s="1083">
        <v>8</v>
      </c>
      <c r="B16" s="1087" t="s">
        <v>1307</v>
      </c>
      <c r="C16" s="1088">
        <v>500</v>
      </c>
      <c r="D16" s="1088">
        <v>2600</v>
      </c>
      <c r="E16" s="1089">
        <v>200</v>
      </c>
      <c r="F16" s="1088">
        <f t="shared" si="0"/>
        <v>910000</v>
      </c>
      <c r="G16" s="1086"/>
    </row>
    <row r="17" spans="1:8" ht="18" customHeight="1">
      <c r="A17" s="1083">
        <v>9</v>
      </c>
      <c r="B17" s="1087" t="s">
        <v>849</v>
      </c>
      <c r="C17" s="1088">
        <v>1000</v>
      </c>
      <c r="D17" s="1088">
        <v>3000</v>
      </c>
      <c r="E17" s="1089">
        <v>200</v>
      </c>
      <c r="F17" s="1088">
        <f t="shared" si="0"/>
        <v>2080000</v>
      </c>
      <c r="G17" s="1086"/>
    </row>
    <row r="18" spans="1:8" ht="18" customHeight="1">
      <c r="A18" s="1083">
        <v>10</v>
      </c>
      <c r="B18" s="1087" t="s">
        <v>1572</v>
      </c>
      <c r="C18" s="1088">
        <v>500</v>
      </c>
      <c r="D18" s="1088">
        <v>3000</v>
      </c>
      <c r="E18" s="1089">
        <v>200</v>
      </c>
      <c r="F18" s="1088">
        <f t="shared" si="0"/>
        <v>1040000</v>
      </c>
      <c r="G18" s="1086"/>
    </row>
    <row r="19" spans="1:8" ht="18" customHeight="1">
      <c r="A19" s="829" t="s">
        <v>35</v>
      </c>
      <c r="B19" s="1081" t="s">
        <v>52</v>
      </c>
      <c r="C19" s="1088"/>
      <c r="D19" s="1088"/>
      <c r="E19" s="1089"/>
      <c r="F19" s="1088"/>
      <c r="G19" s="1086"/>
    </row>
    <row r="20" spans="1:8" ht="36" customHeight="1">
      <c r="A20" s="1091">
        <v>1</v>
      </c>
      <c r="B20" s="1092" t="s">
        <v>1558</v>
      </c>
      <c r="C20" s="1103">
        <v>50</v>
      </c>
      <c r="D20" s="1088">
        <v>3000</v>
      </c>
      <c r="E20" s="1103"/>
      <c r="F20" s="1088">
        <f>C20*(D20+E20)*0.65</f>
        <v>97500</v>
      </c>
      <c r="G20" s="1086"/>
    </row>
    <row r="21" spans="1:8" ht="33" customHeight="1">
      <c r="A21" s="1091">
        <v>2</v>
      </c>
      <c r="B21" s="1092" t="s">
        <v>1557</v>
      </c>
      <c r="C21" s="1103">
        <v>100</v>
      </c>
      <c r="D21" s="1088">
        <v>3000</v>
      </c>
      <c r="E21" s="1103"/>
      <c r="F21" s="1088">
        <f>C21*(D21+E21)*0.65</f>
        <v>195000</v>
      </c>
      <c r="G21" s="1086"/>
    </row>
    <row r="22" spans="1:8" ht="16" customHeight="1">
      <c r="A22" s="1083"/>
      <c r="B22" s="1087"/>
      <c r="C22" s="1088"/>
      <c r="D22" s="1088"/>
      <c r="E22" s="1089"/>
      <c r="F22" s="1088"/>
      <c r="G22" s="1086"/>
    </row>
    <row r="23" spans="1:8">
      <c r="A23" s="1093"/>
      <c r="B23" s="1082" t="s">
        <v>350</v>
      </c>
      <c r="C23" s="1094">
        <f>SUM(C9:C17)</f>
        <v>13900</v>
      </c>
      <c r="D23" s="1094">
        <f>SUM(D9:D17)</f>
        <v>25500</v>
      </c>
      <c r="E23" s="1094">
        <f>SUM(E9:E18)</f>
        <v>2000</v>
      </c>
      <c r="F23" s="1094">
        <f>SUM(F9:F21)</f>
        <v>25717000</v>
      </c>
      <c r="G23" s="1086"/>
    </row>
    <row r="24" spans="1:8" s="92" customFormat="1" ht="15.75" customHeight="1">
      <c r="E24" s="1963" t="s">
        <v>952</v>
      </c>
      <c r="F24" s="1963"/>
      <c r="G24" s="1963"/>
    </row>
    <row r="25" spans="1:8">
      <c r="B25" s="1961" t="s">
        <v>1573</v>
      </c>
      <c r="C25" s="1961"/>
      <c r="D25" s="1961"/>
      <c r="E25" s="1905" t="s">
        <v>112</v>
      </c>
      <c r="F25" s="1905"/>
      <c r="G25" s="1905"/>
      <c r="H25" s="812"/>
    </row>
    <row r="26" spans="1:8">
      <c r="B26" s="868"/>
      <c r="C26" s="868"/>
      <c r="D26" s="868"/>
      <c r="F26" s="866"/>
      <c r="G26" s="866"/>
      <c r="H26" s="812"/>
    </row>
    <row r="27" spans="1:8">
      <c r="B27" s="868"/>
      <c r="C27" s="868"/>
      <c r="D27" s="868"/>
      <c r="F27" s="866"/>
      <c r="G27" s="866"/>
      <c r="H27" s="812"/>
    </row>
    <row r="28" spans="1:8">
      <c r="B28" s="868"/>
      <c r="C28" s="868"/>
      <c r="D28" s="868"/>
      <c r="F28" s="866"/>
      <c r="G28" s="866"/>
      <c r="H28" s="812"/>
    </row>
    <row r="29" spans="1:8">
      <c r="B29" s="868"/>
      <c r="C29" s="868"/>
      <c r="D29" s="868"/>
      <c r="F29" s="866"/>
      <c r="G29" s="866"/>
      <c r="H29" s="812"/>
    </row>
    <row r="30" spans="1:8">
      <c r="A30" s="26" t="s">
        <v>144</v>
      </c>
      <c r="E30" s="1960" t="s">
        <v>747</v>
      </c>
      <c r="F30" s="1960"/>
      <c r="G30" s="1960"/>
    </row>
    <row r="31" spans="1:8">
      <c r="A31" s="25" t="s">
        <v>839</v>
      </c>
    </row>
    <row r="32" spans="1:8">
      <c r="A32" s="25" t="s">
        <v>840</v>
      </c>
    </row>
  </sheetData>
  <mergeCells count="8">
    <mergeCell ref="E30:G30"/>
    <mergeCell ref="B25:D25"/>
    <mergeCell ref="A1:B1"/>
    <mergeCell ref="A2:B2"/>
    <mergeCell ref="A3:G3"/>
    <mergeCell ref="F4:G4"/>
    <mergeCell ref="E24:G24"/>
    <mergeCell ref="E25:G25"/>
  </mergeCells>
  <pageMargins left="0.74" right="0.27" top="0.55000000000000004" bottom="0.27" header="0.55000000000000004" footer="0.22"/>
  <pageSetup paperSize="9" scale="7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46"/>
  <sheetViews>
    <sheetView view="pageBreakPreview" topLeftCell="A6" zoomScale="115" zoomScaleNormal="95" zoomScaleSheetLayoutView="115" zoomScalePageLayoutView="95" workbookViewId="0">
      <selection activeCell="A38" sqref="A38"/>
    </sheetView>
  </sheetViews>
  <sheetFormatPr baseColWidth="10" defaultColWidth="9.1640625" defaultRowHeight="16"/>
  <cols>
    <col min="1" max="1" width="5.83203125" style="25" customWidth="1"/>
    <col min="2" max="2" width="42.5" style="25" customWidth="1"/>
    <col min="3" max="3" width="10.6640625" style="25" customWidth="1"/>
    <col min="4" max="4" width="12.5" style="25" customWidth="1"/>
    <col min="5" max="5" width="16.33203125" style="139" customWidth="1"/>
    <col min="6" max="6" width="13.1640625" style="25" customWidth="1"/>
    <col min="7" max="16384" width="9.1640625" style="25"/>
  </cols>
  <sheetData>
    <row r="1" spans="1:6" ht="17" customHeight="1">
      <c r="A1" s="1960" t="s">
        <v>3</v>
      </c>
      <c r="B1" s="1960"/>
      <c r="C1" s="41"/>
      <c r="F1" s="29" t="s">
        <v>239</v>
      </c>
    </row>
    <row r="2" spans="1:6" ht="17" customHeight="1">
      <c r="A2" s="1906" t="s">
        <v>491</v>
      </c>
      <c r="B2" s="1906"/>
      <c r="C2" s="41"/>
    </row>
    <row r="3" spans="1:6" ht="23.25" customHeight="1">
      <c r="A3" s="1965" t="s">
        <v>1308</v>
      </c>
      <c r="B3" s="1965"/>
      <c r="C3" s="1965"/>
      <c r="D3" s="1965"/>
      <c r="E3" s="1965"/>
      <c r="F3" s="1965"/>
    </row>
    <row r="4" spans="1:6" ht="17" thickBot="1">
      <c r="E4" s="1966" t="s">
        <v>82</v>
      </c>
      <c r="F4" s="1966"/>
    </row>
    <row r="5" spans="1:6" s="41" customFormat="1" ht="81.75" customHeight="1" thickTop="1">
      <c r="A5" s="1405" t="s">
        <v>50</v>
      </c>
      <c r="B5" s="1406" t="s">
        <v>40</v>
      </c>
      <c r="C5" s="1407" t="s">
        <v>219</v>
      </c>
      <c r="D5" s="1407" t="s">
        <v>220</v>
      </c>
      <c r="E5" s="1408" t="s">
        <v>28</v>
      </c>
      <c r="F5" s="1409" t="s">
        <v>2</v>
      </c>
    </row>
    <row r="6" spans="1:6" s="26" customFormat="1">
      <c r="A6" s="1410"/>
      <c r="B6" s="1411" t="s">
        <v>49</v>
      </c>
      <c r="C6" s="1411"/>
      <c r="D6" s="1412"/>
      <c r="E6" s="1413"/>
      <c r="F6" s="1414"/>
    </row>
    <row r="7" spans="1:6" s="26" customFormat="1">
      <c r="A7" s="86" t="s">
        <v>6</v>
      </c>
      <c r="B7" s="1415" t="s">
        <v>48</v>
      </c>
      <c r="C7" s="1415"/>
      <c r="D7" s="603"/>
      <c r="E7" s="1416">
        <f>SUM(E9:E29)</f>
        <v>48558472.5</v>
      </c>
      <c r="F7" s="1417"/>
    </row>
    <row r="8" spans="1:6" ht="17">
      <c r="A8" s="86">
        <v>1</v>
      </c>
      <c r="B8" s="1418" t="s">
        <v>94</v>
      </c>
      <c r="C8" s="1419"/>
      <c r="D8" s="831"/>
      <c r="E8" s="1420"/>
      <c r="F8" s="109"/>
    </row>
    <row r="9" spans="1:6" ht="85">
      <c r="A9" s="85"/>
      <c r="B9" s="1421" t="s">
        <v>174</v>
      </c>
      <c r="C9" s="1419">
        <f>Bieu2!H293</f>
        <v>52029.3</v>
      </c>
      <c r="D9" s="1422">
        <v>330</v>
      </c>
      <c r="E9" s="1423">
        <f>C9*D9</f>
        <v>17169669</v>
      </c>
      <c r="F9" s="1424" t="s">
        <v>1340</v>
      </c>
    </row>
    <row r="10" spans="1:6" ht="17">
      <c r="A10" s="86">
        <v>2</v>
      </c>
      <c r="B10" s="1418" t="s">
        <v>95</v>
      </c>
      <c r="C10" s="1419"/>
      <c r="D10" s="1422"/>
      <c r="E10" s="1423">
        <f t="shared" ref="E10:E22" si="0">C10*D10</f>
        <v>0</v>
      </c>
      <c r="F10" s="109"/>
    </row>
    <row r="11" spans="1:6" ht="30.75" customHeight="1">
      <c r="A11" s="85"/>
      <c r="B11" s="1421" t="s">
        <v>172</v>
      </c>
      <c r="C11" s="1425"/>
      <c r="D11" s="831">
        <v>450</v>
      </c>
      <c r="E11" s="1423">
        <f t="shared" si="0"/>
        <v>0</v>
      </c>
      <c r="F11" s="109"/>
    </row>
    <row r="12" spans="1:6" ht="85">
      <c r="A12" s="1802"/>
      <c r="B12" s="1803" t="s">
        <v>1618</v>
      </c>
      <c r="C12" s="1766">
        <f>Bieu2!H296</f>
        <v>72770</v>
      </c>
      <c r="D12" s="1422">
        <f>1.5*330*0.65</f>
        <v>321.75</v>
      </c>
      <c r="E12" s="1804">
        <f>C12*D12</f>
        <v>23413747.5</v>
      </c>
      <c r="F12" s="1805" t="s">
        <v>1340</v>
      </c>
    </row>
    <row r="13" spans="1:6" ht="17">
      <c r="A13" s="86">
        <v>3</v>
      </c>
      <c r="B13" s="1418" t="s">
        <v>96</v>
      </c>
      <c r="C13" s="1425"/>
      <c r="D13" s="831"/>
      <c r="E13" s="1423">
        <f t="shared" si="0"/>
        <v>0</v>
      </c>
      <c r="F13" s="109"/>
    </row>
    <row r="14" spans="1:6" ht="17">
      <c r="A14" s="85"/>
      <c r="B14" s="1421" t="s">
        <v>172</v>
      </c>
      <c r="C14" s="1425"/>
      <c r="D14" s="831">
        <v>315</v>
      </c>
      <c r="E14" s="1423">
        <f t="shared" si="0"/>
        <v>0</v>
      </c>
      <c r="F14" s="109"/>
    </row>
    <row r="15" spans="1:6" ht="17">
      <c r="A15" s="85"/>
      <c r="B15" s="1421" t="s">
        <v>173</v>
      </c>
      <c r="C15" s="1425">
        <v>0</v>
      </c>
      <c r="D15" s="831">
        <v>259</v>
      </c>
      <c r="E15" s="1423">
        <f t="shared" si="0"/>
        <v>0</v>
      </c>
      <c r="F15" s="109"/>
    </row>
    <row r="16" spans="1:6" ht="17">
      <c r="A16" s="86">
        <v>4</v>
      </c>
      <c r="B16" s="1418" t="s">
        <v>97</v>
      </c>
      <c r="C16" s="1425"/>
      <c r="D16" s="831"/>
      <c r="E16" s="1423">
        <f t="shared" si="0"/>
        <v>0</v>
      </c>
      <c r="F16" s="109"/>
    </row>
    <row r="17" spans="1:6" ht="17">
      <c r="A17" s="85"/>
      <c r="B17" s="1421" t="s">
        <v>172</v>
      </c>
      <c r="C17" s="1425"/>
      <c r="D17" s="831">
        <v>752</v>
      </c>
      <c r="E17" s="1423">
        <f t="shared" si="0"/>
        <v>0</v>
      </c>
      <c r="F17" s="109"/>
    </row>
    <row r="18" spans="1:6" ht="85">
      <c r="A18" s="85"/>
      <c r="B18" s="1421" t="s">
        <v>173</v>
      </c>
      <c r="C18" s="1419">
        <f>Bieu2!H294</f>
        <v>10836</v>
      </c>
      <c r="D18" s="831">
        <v>646</v>
      </c>
      <c r="E18" s="1423">
        <f t="shared" si="0"/>
        <v>7000056</v>
      </c>
      <c r="F18" s="155" t="s">
        <v>1340</v>
      </c>
    </row>
    <row r="19" spans="1:6" ht="17">
      <c r="A19" s="86">
        <v>5</v>
      </c>
      <c r="B19" s="1418" t="s">
        <v>98</v>
      </c>
      <c r="C19" s="1419"/>
      <c r="D19" s="1422"/>
      <c r="E19" s="1423">
        <f t="shared" si="0"/>
        <v>0</v>
      </c>
      <c r="F19" s="109"/>
    </row>
    <row r="20" spans="1:6" ht="17">
      <c r="A20" s="85"/>
      <c r="B20" s="1421" t="s">
        <v>172</v>
      </c>
      <c r="C20" s="1419"/>
      <c r="D20" s="602">
        <v>29250</v>
      </c>
      <c r="E20" s="1423">
        <f t="shared" si="0"/>
        <v>0</v>
      </c>
      <c r="F20" s="109"/>
    </row>
    <row r="21" spans="1:6" ht="85">
      <c r="A21" s="85"/>
      <c r="B21" s="1421" t="s">
        <v>173</v>
      </c>
      <c r="C21" s="1419">
        <f>Bieu1!G22</f>
        <v>30</v>
      </c>
      <c r="D21" s="602">
        <v>24500</v>
      </c>
      <c r="E21" s="1423">
        <f>C21*(D21+8000)</f>
        <v>975000</v>
      </c>
      <c r="F21" s="155" t="s">
        <v>1341</v>
      </c>
    </row>
    <row r="22" spans="1:6" ht="17">
      <c r="A22" s="85">
        <v>6</v>
      </c>
      <c r="B22" s="1421" t="s">
        <v>88</v>
      </c>
      <c r="C22" s="1419"/>
      <c r="D22" s="1426"/>
      <c r="E22" s="1423">
        <f t="shared" si="0"/>
        <v>0</v>
      </c>
      <c r="F22" s="109"/>
    </row>
    <row r="23" spans="1:6">
      <c r="A23" s="85">
        <v>7</v>
      </c>
      <c r="B23" s="1419" t="s">
        <v>175</v>
      </c>
      <c r="C23" s="1419"/>
      <c r="D23" s="1426"/>
      <c r="E23" s="1423"/>
      <c r="F23" s="109"/>
    </row>
    <row r="24" spans="1:6">
      <c r="A24" s="85">
        <v>8</v>
      </c>
      <c r="B24" s="1419" t="s">
        <v>89</v>
      </c>
      <c r="C24" s="1419"/>
      <c r="D24" s="264"/>
      <c r="E24" s="1423"/>
      <c r="F24" s="109"/>
    </row>
    <row r="25" spans="1:6">
      <c r="A25" s="85"/>
      <c r="B25" s="1419" t="s">
        <v>90</v>
      </c>
      <c r="C25" s="1419"/>
      <c r="D25" s="1426"/>
      <c r="E25" s="1423"/>
      <c r="F25" s="109"/>
    </row>
    <row r="26" spans="1:6">
      <c r="A26" s="85"/>
      <c r="B26" s="1419" t="s">
        <v>91</v>
      </c>
      <c r="C26" s="1419"/>
      <c r="D26" s="1426"/>
      <c r="E26" s="1423"/>
      <c r="F26" s="109"/>
    </row>
    <row r="27" spans="1:6">
      <c r="A27" s="85"/>
      <c r="B27" s="1419" t="s">
        <v>92</v>
      </c>
      <c r="C27" s="1419"/>
      <c r="D27" s="1426"/>
      <c r="E27" s="1423"/>
      <c r="F27" s="109"/>
    </row>
    <row r="28" spans="1:6">
      <c r="A28" s="85"/>
      <c r="B28" s="1419" t="s">
        <v>93</v>
      </c>
      <c r="C28" s="1419"/>
      <c r="D28" s="1426"/>
      <c r="E28" s="1423"/>
      <c r="F28" s="109"/>
    </row>
    <row r="29" spans="1:6">
      <c r="A29" s="85">
        <v>9</v>
      </c>
      <c r="B29" s="1419" t="s">
        <v>52</v>
      </c>
      <c r="C29" s="1419"/>
      <c r="D29" s="1426"/>
      <c r="E29" s="1423"/>
      <c r="F29" s="109"/>
    </row>
    <row r="30" spans="1:6">
      <c r="A30" s="86" t="s">
        <v>7</v>
      </c>
      <c r="B30" s="1415" t="s">
        <v>47</v>
      </c>
      <c r="C30" s="1415"/>
      <c r="D30" s="603"/>
      <c r="E30" s="1416"/>
      <c r="F30" s="109"/>
    </row>
    <row r="31" spans="1:6">
      <c r="A31" s="85"/>
      <c r="B31" s="1419" t="s">
        <v>51</v>
      </c>
      <c r="C31" s="1419"/>
      <c r="D31" s="603"/>
      <c r="E31" s="1423"/>
      <c r="F31" s="109"/>
    </row>
    <row r="32" spans="1:6">
      <c r="A32" s="85"/>
      <c r="B32" s="1419" t="s">
        <v>109</v>
      </c>
      <c r="C32" s="1419"/>
      <c r="D32" s="603"/>
      <c r="E32" s="1423"/>
      <c r="F32" s="109"/>
    </row>
    <row r="33" spans="1:7" s="26" customFormat="1">
      <c r="A33" s="86" t="s">
        <v>24</v>
      </c>
      <c r="B33" s="1415" t="s">
        <v>45</v>
      </c>
      <c r="C33" s="1427">
        <f>SUM(C34:C34)</f>
        <v>0</v>
      </c>
      <c r="D33" s="1427">
        <f>SUM(D34:D34)</f>
        <v>0</v>
      </c>
      <c r="E33" s="1427">
        <f>SUM(E34:E34)</f>
        <v>25717000</v>
      </c>
      <c r="F33" s="1428"/>
    </row>
    <row r="34" spans="1:7" s="26" customFormat="1" ht="34">
      <c r="A34" s="85">
        <v>1</v>
      </c>
      <c r="B34" s="1421" t="s">
        <v>1623</v>
      </c>
      <c r="C34" s="1419"/>
      <c r="D34" s="1429"/>
      <c r="E34" s="1423">
        <f>'Bieu 8'!F23</f>
        <v>25717000</v>
      </c>
      <c r="F34" s="109" t="s">
        <v>238</v>
      </c>
    </row>
    <row r="35" spans="1:7" s="26" customFormat="1" ht="17" thickBot="1">
      <c r="A35" s="114"/>
      <c r="B35" s="1430" t="s">
        <v>483</v>
      </c>
      <c r="C35" s="1431"/>
      <c r="D35" s="1432"/>
      <c r="E35" s="1433">
        <f>E7+E30+E33</f>
        <v>74275472.5</v>
      </c>
      <c r="F35" s="115"/>
    </row>
    <row r="36" spans="1:7" s="26" customFormat="1" ht="15.5" customHeight="1" thickTop="1">
      <c r="A36" s="92"/>
      <c r="B36" s="92"/>
    </row>
    <row r="37" spans="1:7" s="26" customFormat="1" ht="16" customHeight="1">
      <c r="A37" s="1969" t="s">
        <v>1651</v>
      </c>
      <c r="B37" s="1969"/>
      <c r="C37" s="1969"/>
      <c r="D37" s="1969"/>
      <c r="E37" s="1969"/>
      <c r="F37" s="1099"/>
    </row>
    <row r="38" spans="1:7">
      <c r="A38" s="1100"/>
      <c r="B38" s="1100"/>
      <c r="C38" s="1100"/>
      <c r="D38" s="1967" t="s">
        <v>952</v>
      </c>
      <c r="E38" s="1967"/>
      <c r="F38" s="1967"/>
    </row>
    <row r="39" spans="1:7">
      <c r="D39" s="1968" t="s">
        <v>112</v>
      </c>
      <c r="E39" s="1968"/>
      <c r="F39" s="1968"/>
    </row>
    <row r="40" spans="1:7">
      <c r="D40" s="1041"/>
      <c r="E40" s="1041"/>
      <c r="F40" s="1041"/>
    </row>
    <row r="41" spans="1:7">
      <c r="D41" s="1041"/>
      <c r="E41" s="1041"/>
      <c r="F41" s="1041"/>
    </row>
    <row r="42" spans="1:7">
      <c r="D42" s="1041"/>
      <c r="E42" s="1041"/>
      <c r="F42" s="1041"/>
    </row>
    <row r="43" spans="1:7">
      <c r="D43" s="139"/>
      <c r="E43" s="25"/>
    </row>
    <row r="44" spans="1:7" s="92" customFormat="1" ht="15.75" customHeight="1">
      <c r="B44" s="25"/>
      <c r="C44" s="25"/>
      <c r="D44" s="1964" t="s">
        <v>747</v>
      </c>
      <c r="E44" s="1964"/>
      <c r="F44" s="1964"/>
    </row>
    <row r="45" spans="1:7">
      <c r="G45" s="161"/>
    </row>
    <row r="46" spans="1:7" ht="15" customHeight="1"/>
  </sheetData>
  <mergeCells count="8">
    <mergeCell ref="D44:F44"/>
    <mergeCell ref="A1:B1"/>
    <mergeCell ref="A2:B2"/>
    <mergeCell ref="A3:F3"/>
    <mergeCell ref="E4:F4"/>
    <mergeCell ref="D38:F38"/>
    <mergeCell ref="D39:F39"/>
    <mergeCell ref="A37:E37"/>
  </mergeCells>
  <pageMargins left="0.59" right="0.35" top="0.54" bottom="0.51" header="0.46" footer="0.45"/>
  <pageSetup paperSize="9" scale="6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6"/>
  <sheetViews>
    <sheetView view="pageBreakPreview" topLeftCell="A33" zoomScale="110" zoomScaleNormal="96" zoomScaleSheetLayoutView="110" zoomScalePageLayoutView="96" workbookViewId="0">
      <selection activeCell="C30" sqref="C30"/>
    </sheetView>
  </sheetViews>
  <sheetFormatPr baseColWidth="10" defaultColWidth="9.1640625" defaultRowHeight="18"/>
  <cols>
    <col min="1" max="1" width="4.6640625" style="24" customWidth="1"/>
    <col min="2" max="2" width="58.6640625" style="24" customWidth="1"/>
    <col min="3" max="3" width="14" style="138" customWidth="1"/>
    <col min="4" max="4" width="27.1640625" style="24" customWidth="1"/>
    <col min="5" max="5" width="14.6640625" style="24" hidden="1" customWidth="1"/>
    <col min="6" max="7" width="0" style="24" hidden="1" customWidth="1"/>
    <col min="8" max="16384" width="9.1640625" style="24"/>
  </cols>
  <sheetData>
    <row r="1" spans="1:7">
      <c r="A1" s="1971" t="s">
        <v>136</v>
      </c>
      <c r="B1" s="1971"/>
      <c r="C1" s="1973" t="s">
        <v>240</v>
      </c>
      <c r="D1" s="1973"/>
      <c r="E1" s="30"/>
      <c r="F1" s="30"/>
      <c r="G1" s="30"/>
    </row>
    <row r="2" spans="1:7">
      <c r="A2" s="1972" t="s">
        <v>491</v>
      </c>
      <c r="B2" s="1972"/>
      <c r="C2" s="134"/>
      <c r="D2" s="30"/>
      <c r="E2" s="30"/>
      <c r="F2" s="30"/>
      <c r="G2" s="30"/>
    </row>
    <row r="3" spans="1:7" ht="8.25" customHeight="1">
      <c r="A3" s="30"/>
      <c r="B3" s="30"/>
      <c r="C3" s="134"/>
      <c r="D3" s="30"/>
      <c r="E3" s="30"/>
      <c r="F3" s="30"/>
      <c r="G3" s="30"/>
    </row>
    <row r="4" spans="1:7" ht="30" customHeight="1">
      <c r="A4" s="1974" t="s">
        <v>1309</v>
      </c>
      <c r="B4" s="1974"/>
      <c r="C4" s="1974"/>
      <c r="D4" s="1974"/>
      <c r="E4" s="30"/>
      <c r="F4" s="30"/>
      <c r="G4" s="30"/>
    </row>
    <row r="5" spans="1:7" ht="19" thickBot="1">
      <c r="A5" s="30"/>
      <c r="B5" s="30"/>
      <c r="C5" s="1975" t="s">
        <v>69</v>
      </c>
      <c r="D5" s="1975"/>
      <c r="E5" s="30"/>
      <c r="F5" s="30"/>
      <c r="G5" s="30"/>
    </row>
    <row r="6" spans="1:7" s="41" customFormat="1" thickTop="1">
      <c r="A6" s="93" t="s">
        <v>50</v>
      </c>
      <c r="B6" s="94" t="s">
        <v>40</v>
      </c>
      <c r="C6" s="135" t="s">
        <v>28</v>
      </c>
      <c r="D6" s="95" t="s">
        <v>2</v>
      </c>
      <c r="E6" s="31"/>
      <c r="F6" s="31"/>
      <c r="G6" s="31"/>
    </row>
    <row r="7" spans="1:7" s="26" customFormat="1" ht="16">
      <c r="A7" s="1435"/>
      <c r="B7" s="1436" t="s">
        <v>142</v>
      </c>
      <c r="C7" s="1437"/>
      <c r="D7" s="1438"/>
      <c r="E7" s="33"/>
      <c r="F7" s="33"/>
      <c r="G7" s="33"/>
    </row>
    <row r="8" spans="1:7" s="26" customFormat="1" ht="17" customHeight="1">
      <c r="A8" s="107">
        <v>1</v>
      </c>
      <c r="B8" s="1439" t="s">
        <v>44</v>
      </c>
      <c r="C8" s="382">
        <f>SUM(C9:C19)</f>
        <v>18500196.489999998</v>
      </c>
      <c r="D8" s="108"/>
      <c r="E8" s="33"/>
      <c r="F8" s="33"/>
      <c r="G8" s="33"/>
    </row>
    <row r="9" spans="1:7" s="25" customFormat="1" ht="38.25" customHeight="1">
      <c r="A9" s="85">
        <v>1.1000000000000001</v>
      </c>
      <c r="B9" s="1440" t="s">
        <v>197</v>
      </c>
      <c r="C9" s="1441">
        <v>11074800</v>
      </c>
      <c r="D9" s="109" t="s">
        <v>484</v>
      </c>
      <c r="E9" s="1434"/>
    </row>
    <row r="10" spans="1:7" s="25" customFormat="1" ht="20.25" customHeight="1">
      <c r="A10" s="85">
        <v>1.2</v>
      </c>
      <c r="B10" s="117" t="s">
        <v>62</v>
      </c>
      <c r="C10" s="1441">
        <f>70*Bieu2!N298</f>
        <v>3643416</v>
      </c>
      <c r="D10" s="109" t="s">
        <v>1333</v>
      </c>
    </row>
    <row r="11" spans="1:7" s="25" customFormat="1" ht="39" customHeight="1">
      <c r="A11" s="85">
        <v>1.3</v>
      </c>
      <c r="B11" s="1766" t="s">
        <v>200</v>
      </c>
      <c r="C11" s="1767">
        <f>0.21*'Bieu 9'!E9</f>
        <v>3605630.4899999998</v>
      </c>
      <c r="D11" s="1768" t="s">
        <v>1334</v>
      </c>
    </row>
    <row r="12" spans="1:7" s="25" customFormat="1" ht="33" customHeight="1">
      <c r="A12" s="85">
        <v>1.4</v>
      </c>
      <c r="B12" s="1419" t="s">
        <v>61</v>
      </c>
      <c r="C12" s="1441">
        <f>5*1000+300*38</f>
        <v>16400</v>
      </c>
      <c r="D12" s="109" t="s">
        <v>1650</v>
      </c>
    </row>
    <row r="13" spans="1:7" s="25" customFormat="1" ht="25.5" customHeight="1">
      <c r="A13" s="85">
        <v>1.5</v>
      </c>
      <c r="B13" s="1419" t="s">
        <v>60</v>
      </c>
      <c r="C13" s="1441">
        <f>1000*10</f>
        <v>10000</v>
      </c>
      <c r="D13" s="109"/>
    </row>
    <row r="14" spans="1:7" s="25" customFormat="1" ht="72" customHeight="1">
      <c r="A14" s="85">
        <v>1.6</v>
      </c>
      <c r="B14" s="1419" t="s">
        <v>845</v>
      </c>
      <c r="C14" s="1441">
        <f>(400*10+1000)*1</f>
        <v>5000</v>
      </c>
      <c r="D14" s="155" t="s">
        <v>1335</v>
      </c>
    </row>
    <row r="15" spans="1:7" s="25" customFormat="1" ht="23.25" customHeight="1">
      <c r="A15" s="85">
        <v>1.7</v>
      </c>
      <c r="B15" s="1419" t="s">
        <v>1559</v>
      </c>
      <c r="C15" s="1419"/>
      <c r="D15" s="1442"/>
    </row>
    <row r="16" spans="1:7" s="25" customFormat="1" ht="27.75" customHeight="1">
      <c r="A16" s="85"/>
      <c r="B16" s="1419" t="s">
        <v>485</v>
      </c>
      <c r="C16" s="1441">
        <v>30000</v>
      </c>
      <c r="D16" s="109" t="s">
        <v>550</v>
      </c>
    </row>
    <row r="17" spans="1:4" s="25" customFormat="1" ht="45" customHeight="1">
      <c r="A17" s="85"/>
      <c r="B17" s="1421" t="s">
        <v>1336</v>
      </c>
      <c r="C17" s="1441">
        <f>12.5*2*(Bieu1!G10+Bieu1!G14+Bieu1!G12 +Bieu1!G13)</f>
        <v>32950</v>
      </c>
      <c r="D17" s="109" t="s">
        <v>550</v>
      </c>
    </row>
    <row r="18" spans="1:4" s="25" customFormat="1" ht="42" customHeight="1">
      <c r="A18" s="85"/>
      <c r="B18" s="1419" t="s">
        <v>486</v>
      </c>
      <c r="C18" s="1441">
        <v>25000</v>
      </c>
      <c r="D18" s="155" t="s">
        <v>695</v>
      </c>
    </row>
    <row r="19" spans="1:4" s="25" customFormat="1" ht="20.25" customHeight="1">
      <c r="A19" s="85"/>
      <c r="B19" s="1419" t="s">
        <v>556</v>
      </c>
      <c r="C19" s="1441">
        <f>1500*38</f>
        <v>57000</v>
      </c>
      <c r="D19" s="109" t="s">
        <v>554</v>
      </c>
    </row>
    <row r="20" spans="1:4" s="25" customFormat="1" ht="22.5" customHeight="1">
      <c r="A20" s="86">
        <v>2</v>
      </c>
      <c r="B20" s="1415" t="s">
        <v>198</v>
      </c>
      <c r="C20" s="137">
        <f>SUM(C21:C31)</f>
        <v>17865336</v>
      </c>
      <c r="D20" s="109"/>
    </row>
    <row r="21" spans="1:4" s="25" customFormat="1" ht="22.5" customHeight="1">
      <c r="A21" s="116">
        <v>2.1</v>
      </c>
      <c r="B21" s="1421" t="s">
        <v>59</v>
      </c>
      <c r="C21" s="1441">
        <f>6*300</f>
        <v>1800</v>
      </c>
      <c r="D21" s="109"/>
    </row>
    <row r="22" spans="1:4" s="25" customFormat="1" ht="22.5" customHeight="1">
      <c r="A22" s="85" t="s">
        <v>129</v>
      </c>
      <c r="B22" s="1421" t="s">
        <v>58</v>
      </c>
      <c r="C22" s="1441">
        <f>Bieu5!F16</f>
        <v>23462</v>
      </c>
      <c r="D22" s="109" t="s">
        <v>1337</v>
      </c>
    </row>
    <row r="23" spans="1:4" s="25" customFormat="1" ht="22.5" customHeight="1">
      <c r="A23" s="110" t="s">
        <v>130</v>
      </c>
      <c r="B23" s="1421" t="s">
        <v>57</v>
      </c>
      <c r="C23" s="1443">
        <f>(300+200*11)*10</f>
        <v>25000</v>
      </c>
      <c r="D23" s="111" t="s">
        <v>1565</v>
      </c>
    </row>
    <row r="24" spans="1:4" s="25" customFormat="1" ht="29.25" customHeight="1">
      <c r="A24" s="85" t="s">
        <v>131</v>
      </c>
      <c r="B24" s="1421" t="s">
        <v>1564</v>
      </c>
      <c r="C24" s="1443">
        <v>0</v>
      </c>
      <c r="D24" s="111" t="s">
        <v>1566</v>
      </c>
    </row>
    <row r="25" spans="1:4" s="25" customFormat="1" ht="22.5" customHeight="1">
      <c r="A25" s="110" t="s">
        <v>137</v>
      </c>
      <c r="B25" s="1421" t="s">
        <v>56</v>
      </c>
      <c r="C25" s="1443">
        <f>10*4000</f>
        <v>40000</v>
      </c>
      <c r="D25" s="111"/>
    </row>
    <row r="26" spans="1:4" s="25" customFormat="1" ht="27.75" customHeight="1">
      <c r="A26" s="85" t="s">
        <v>138</v>
      </c>
      <c r="B26" s="1421" t="s">
        <v>55</v>
      </c>
      <c r="C26" s="1443">
        <f>115*Bieu2!K298</f>
        <v>357374</v>
      </c>
      <c r="D26" s="111" t="s">
        <v>696</v>
      </c>
    </row>
    <row r="27" spans="1:4" s="25" customFormat="1" ht="22.5" customHeight="1">
      <c r="A27" s="110" t="s">
        <v>139</v>
      </c>
      <c r="B27" s="1421" t="s">
        <v>54</v>
      </c>
      <c r="C27" s="1443">
        <v>30000</v>
      </c>
      <c r="D27" s="111"/>
    </row>
    <row r="28" spans="1:4" s="25" customFormat="1" ht="22.5" customHeight="1">
      <c r="A28" s="85" t="s">
        <v>140</v>
      </c>
      <c r="B28" s="1444" t="s">
        <v>53</v>
      </c>
      <c r="C28" s="1443">
        <f>Bieu5!F6</f>
        <v>30200</v>
      </c>
      <c r="D28" s="111" t="s">
        <v>488</v>
      </c>
    </row>
    <row r="29" spans="1:4" s="25" customFormat="1" ht="69.75" customHeight="1">
      <c r="A29" s="110" t="s">
        <v>141</v>
      </c>
      <c r="B29" s="1445" t="s">
        <v>201</v>
      </c>
      <c r="C29" s="1443">
        <v>830600</v>
      </c>
      <c r="D29" s="111" t="s">
        <v>487</v>
      </c>
    </row>
    <row r="30" spans="1:4" s="25" customFormat="1" ht="24.75" customHeight="1">
      <c r="A30" s="110">
        <v>2.9</v>
      </c>
      <c r="B30" s="1445" t="s">
        <v>1620</v>
      </c>
      <c r="C30" s="1443">
        <f>'Bieu 7 NCKH'!D14+'Bieu 7 NCKH'!D23</f>
        <v>450000</v>
      </c>
      <c r="D30" s="111" t="s">
        <v>489</v>
      </c>
    </row>
    <row r="31" spans="1:4" s="1667" customFormat="1" ht="33.75" customHeight="1">
      <c r="A31" s="1769">
        <v>2.1</v>
      </c>
      <c r="B31" s="1770" t="s">
        <v>850</v>
      </c>
      <c r="C31" s="1767">
        <f>0.7*'Bieu 8'!F23-0.7*200*13750</f>
        <v>16076900</v>
      </c>
      <c r="D31" s="1771" t="s">
        <v>1582</v>
      </c>
    </row>
    <row r="32" spans="1:4" s="25" customFormat="1" ht="27" customHeight="1">
      <c r="A32" s="86">
        <v>3</v>
      </c>
      <c r="B32" s="1446" t="s">
        <v>42</v>
      </c>
      <c r="C32" s="1813">
        <f>SUM(C33:C35)</f>
        <v>1846966.9000000001</v>
      </c>
      <c r="D32" s="111"/>
    </row>
    <row r="33" spans="1:5" s="25" customFormat="1" ht="25.5" customHeight="1">
      <c r="A33" s="113" t="s">
        <v>1119</v>
      </c>
      <c r="B33" s="1445" t="s">
        <v>199</v>
      </c>
      <c r="C33" s="1443">
        <f>Bieu5!F19</f>
        <v>10000</v>
      </c>
      <c r="D33" s="111" t="s">
        <v>488</v>
      </c>
    </row>
    <row r="34" spans="1:5" s="25" customFormat="1" ht="33" customHeight="1">
      <c r="A34" s="113">
        <v>3.2</v>
      </c>
      <c r="B34" s="1445" t="s">
        <v>552</v>
      </c>
      <c r="C34" s="1443">
        <f>0.1*('Bieu 9'!E9)</f>
        <v>1716966.9000000001</v>
      </c>
      <c r="D34" s="547" t="s">
        <v>1338</v>
      </c>
    </row>
    <row r="35" spans="1:5" s="25" customFormat="1" ht="37.5" customHeight="1">
      <c r="A35" s="113">
        <v>3.3</v>
      </c>
      <c r="B35" s="1445" t="s">
        <v>1622</v>
      </c>
      <c r="C35" s="1443">
        <f>4000*'Biểu 7B Xuất bản'!F13</f>
        <v>120000</v>
      </c>
      <c r="D35" s="547" t="s">
        <v>1339</v>
      </c>
    </row>
    <row r="36" spans="1:5" s="25" customFormat="1" ht="21.75" customHeight="1">
      <c r="A36" s="112">
        <v>4</v>
      </c>
      <c r="B36" s="1446" t="s">
        <v>103</v>
      </c>
      <c r="C36" s="1447">
        <f>C37+C38</f>
        <v>45000</v>
      </c>
      <c r="D36" s="111"/>
    </row>
    <row r="37" spans="1:5" s="25" customFormat="1" ht="22.5" customHeight="1">
      <c r="A37" s="113" t="s">
        <v>1574</v>
      </c>
      <c r="B37" s="1444" t="s">
        <v>101</v>
      </c>
      <c r="C37" s="1443">
        <v>20000</v>
      </c>
      <c r="D37" s="111"/>
    </row>
    <row r="38" spans="1:5" s="25" customFormat="1" ht="21" customHeight="1">
      <c r="A38" s="113" t="s">
        <v>946</v>
      </c>
      <c r="B38" s="1444" t="s">
        <v>102</v>
      </c>
      <c r="C38" s="1443">
        <v>25000</v>
      </c>
      <c r="D38" s="111"/>
    </row>
    <row r="39" spans="1:5" s="25" customFormat="1" ht="30" customHeight="1" thickBot="1">
      <c r="A39" s="114"/>
      <c r="B39" s="133" t="s">
        <v>490</v>
      </c>
      <c r="C39" s="156">
        <f>C36+C32+C20+C8</f>
        <v>38257499.390000001</v>
      </c>
      <c r="D39" s="115"/>
    </row>
    <row r="40" spans="1:5" ht="19" thickTop="1">
      <c r="B40" s="841" t="s">
        <v>1654</v>
      </c>
      <c r="C40" s="24"/>
      <c r="D40" s="138"/>
    </row>
    <row r="41" spans="1:5" ht="14.25" customHeight="1">
      <c r="A41" s="92"/>
      <c r="C41" s="1967" t="s">
        <v>952</v>
      </c>
      <c r="D41" s="1967"/>
    </row>
    <row r="42" spans="1:5" ht="14.25" customHeight="1">
      <c r="C42" s="1968" t="s">
        <v>112</v>
      </c>
      <c r="D42" s="1968"/>
      <c r="E42" s="148"/>
    </row>
    <row r="43" spans="1:5" ht="14.25" customHeight="1">
      <c r="C43" s="870"/>
      <c r="D43" s="870"/>
      <c r="E43" s="869"/>
    </row>
    <row r="46" spans="1:5" ht="18" customHeight="1">
      <c r="C46" s="1970" t="s">
        <v>747</v>
      </c>
      <c r="D46" s="1970"/>
    </row>
  </sheetData>
  <mergeCells count="8">
    <mergeCell ref="C46:D46"/>
    <mergeCell ref="C41:D41"/>
    <mergeCell ref="C42:D42"/>
    <mergeCell ref="A1:B1"/>
    <mergeCell ref="A2:B2"/>
    <mergeCell ref="C1:D1"/>
    <mergeCell ref="A4:D4"/>
    <mergeCell ref="C5:D5"/>
  </mergeCells>
  <pageMargins left="0.76" right="0.4" top="0.63" bottom="0.69" header="0.54" footer="0.17"/>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278"/>
  <sheetViews>
    <sheetView view="pageBreakPreview" zoomScale="115" zoomScaleNormal="100" zoomScaleSheetLayoutView="115" workbookViewId="0">
      <selection activeCell="C22" sqref="C22"/>
    </sheetView>
  </sheetViews>
  <sheetFormatPr baseColWidth="10" defaultColWidth="9.1640625" defaultRowHeight="18"/>
  <cols>
    <col min="1" max="1" width="5.83203125" style="24" customWidth="1"/>
    <col min="2" max="2" width="46.6640625" style="24" bestFit="1" customWidth="1"/>
    <col min="3" max="3" width="18" style="138" customWidth="1"/>
    <col min="4" max="4" width="20.33203125" style="24" customWidth="1"/>
    <col min="5" max="16384" width="9.1640625" style="24"/>
  </cols>
  <sheetData>
    <row r="1" spans="1:6">
      <c r="A1" s="1971" t="s">
        <v>3</v>
      </c>
      <c r="B1" s="1971"/>
      <c r="C1" s="134"/>
      <c r="D1" s="29" t="s">
        <v>242</v>
      </c>
      <c r="E1" s="30"/>
      <c r="F1" s="30"/>
    </row>
    <row r="2" spans="1:6">
      <c r="A2" s="1972" t="s">
        <v>491</v>
      </c>
      <c r="B2" s="1972"/>
      <c r="C2" s="134"/>
      <c r="D2" s="30"/>
      <c r="E2" s="30"/>
      <c r="F2" s="30"/>
    </row>
    <row r="3" spans="1:6" ht="12" customHeight="1">
      <c r="A3" s="30"/>
      <c r="B3" s="30"/>
      <c r="C3" s="134"/>
      <c r="D3" s="30"/>
      <c r="E3" s="30"/>
      <c r="F3" s="30"/>
    </row>
    <row r="4" spans="1:6" ht="24" customHeight="1">
      <c r="A4" s="1976" t="s">
        <v>1342</v>
      </c>
      <c r="B4" s="1976"/>
      <c r="C4" s="1976"/>
      <c r="D4" s="1976"/>
      <c r="E4" s="30"/>
      <c r="F4" s="30"/>
    </row>
    <row r="5" spans="1:6" ht="19" thickBot="1">
      <c r="A5" s="30"/>
      <c r="B5" s="30"/>
      <c r="C5" s="1977" t="s">
        <v>532</v>
      </c>
      <c r="D5" s="1977"/>
      <c r="E5" s="30"/>
      <c r="F5" s="30"/>
    </row>
    <row r="6" spans="1:6" s="27" customFormat="1" thickTop="1">
      <c r="A6" s="93" t="s">
        <v>50</v>
      </c>
      <c r="B6" s="94" t="s">
        <v>40</v>
      </c>
      <c r="C6" s="135" t="s">
        <v>70</v>
      </c>
      <c r="D6" s="95" t="s">
        <v>2</v>
      </c>
      <c r="E6" s="31"/>
      <c r="F6" s="31"/>
    </row>
    <row r="7" spans="1:6" s="26" customFormat="1" ht="16">
      <c r="A7" s="1104" t="s">
        <v>5</v>
      </c>
      <c r="B7" s="32" t="s">
        <v>108</v>
      </c>
      <c r="C7" s="136">
        <f>SUM(C8:C11)</f>
        <v>74275472.5</v>
      </c>
      <c r="D7" s="96" t="s">
        <v>533</v>
      </c>
      <c r="E7" s="33"/>
      <c r="F7" s="33"/>
    </row>
    <row r="8" spans="1:6" s="25" customFormat="1" ht="16">
      <c r="A8" s="97">
        <v>1</v>
      </c>
      <c r="B8" s="34" t="s">
        <v>48</v>
      </c>
      <c r="C8" s="140">
        <f>'Bieu 9'!E7</f>
        <v>48558472.5</v>
      </c>
      <c r="D8" s="98"/>
      <c r="E8" s="35"/>
      <c r="F8" s="35"/>
    </row>
    <row r="9" spans="1:6" s="25" customFormat="1" ht="16">
      <c r="A9" s="99">
        <v>2</v>
      </c>
      <c r="B9" s="36" t="s">
        <v>47</v>
      </c>
      <c r="C9" s="141">
        <f>'Bieu 9'!E30</f>
        <v>0</v>
      </c>
      <c r="D9" s="100"/>
      <c r="E9" s="35"/>
      <c r="F9" s="35"/>
    </row>
    <row r="10" spans="1:6" s="25" customFormat="1" ht="16">
      <c r="A10" s="99">
        <v>3</v>
      </c>
      <c r="B10" s="36" t="s">
        <v>46</v>
      </c>
      <c r="C10" s="141">
        <f>'Bieu 9'!E30</f>
        <v>0</v>
      </c>
      <c r="D10" s="100"/>
      <c r="E10" s="35"/>
      <c r="F10" s="35"/>
    </row>
    <row r="11" spans="1:6" s="25" customFormat="1" ht="16">
      <c r="A11" s="101">
        <v>4</v>
      </c>
      <c r="B11" s="36" t="s">
        <v>45</v>
      </c>
      <c r="C11" s="141">
        <f>'Bieu 9'!E33</f>
        <v>25717000</v>
      </c>
      <c r="D11" s="100"/>
      <c r="E11" s="35"/>
      <c r="F11" s="35"/>
    </row>
    <row r="12" spans="1:6" s="25" customFormat="1" ht="16">
      <c r="A12" s="102"/>
      <c r="B12" s="37"/>
      <c r="C12" s="142"/>
      <c r="D12" s="103"/>
      <c r="E12" s="35"/>
      <c r="F12" s="35"/>
    </row>
    <row r="13" spans="1:6" s="26" customFormat="1" ht="16">
      <c r="A13" s="1104" t="s">
        <v>18</v>
      </c>
      <c r="B13" s="32" t="s">
        <v>143</v>
      </c>
      <c r="C13" s="136">
        <f>SUM(C14:C17)</f>
        <v>38257499.389999993</v>
      </c>
      <c r="D13" s="96" t="s">
        <v>534</v>
      </c>
      <c r="E13" s="33"/>
      <c r="F13" s="33"/>
    </row>
    <row r="14" spans="1:6" s="25" customFormat="1" ht="16">
      <c r="A14" s="97">
        <v>1</v>
      </c>
      <c r="B14" s="34" t="s">
        <v>44</v>
      </c>
      <c r="C14" s="140">
        <f>'Bieu 10'!C8</f>
        <v>18500196.489999998</v>
      </c>
      <c r="D14" s="98"/>
      <c r="E14" s="35"/>
      <c r="F14" s="35"/>
    </row>
    <row r="15" spans="1:6" s="25" customFormat="1" ht="16">
      <c r="A15" s="101">
        <v>2</v>
      </c>
      <c r="B15" s="36" t="s">
        <v>43</v>
      </c>
      <c r="C15" s="141">
        <f>'Bieu 10'!C20</f>
        <v>17865336</v>
      </c>
      <c r="D15" s="100"/>
      <c r="E15" s="35"/>
      <c r="F15" s="35"/>
    </row>
    <row r="16" spans="1:6" s="25" customFormat="1" ht="17">
      <c r="A16" s="104">
        <v>3</v>
      </c>
      <c r="B16" s="38" t="s">
        <v>42</v>
      </c>
      <c r="C16" s="143">
        <f>'Bieu 10'!C32</f>
        <v>1846966.9000000001</v>
      </c>
      <c r="D16" s="105"/>
      <c r="E16" s="35"/>
      <c r="F16" s="35"/>
    </row>
    <row r="17" spans="1:6" s="25" customFormat="1" ht="17">
      <c r="A17" s="104">
        <v>4</v>
      </c>
      <c r="B17" s="38" t="s">
        <v>16</v>
      </c>
      <c r="C17" s="143">
        <f>'Bieu 10'!C36</f>
        <v>45000</v>
      </c>
      <c r="D17" s="105"/>
      <c r="E17" s="35"/>
      <c r="F17" s="35"/>
    </row>
    <row r="18" spans="1:6" s="25" customFormat="1" thickBot="1">
      <c r="A18" s="165" t="s">
        <v>417</v>
      </c>
      <c r="B18" s="384" t="s">
        <v>553</v>
      </c>
      <c r="C18" s="383">
        <f>C7-C13</f>
        <v>36017973.110000007</v>
      </c>
      <c r="D18" s="106"/>
      <c r="E18" s="35"/>
      <c r="F18" s="35"/>
    </row>
    <row r="19" spans="1:6" ht="19" thickTop="1">
      <c r="A19" s="30"/>
      <c r="B19" s="30"/>
      <c r="C19" s="1978" t="s">
        <v>952</v>
      </c>
      <c r="D19" s="1978"/>
      <c r="E19" s="30"/>
      <c r="F19" s="30"/>
    </row>
    <row r="20" spans="1:6">
      <c r="A20" s="30"/>
      <c r="B20" s="30"/>
      <c r="C20" s="1950" t="s">
        <v>20</v>
      </c>
      <c r="D20" s="1950"/>
      <c r="E20" s="30"/>
      <c r="F20" s="30"/>
    </row>
    <row r="22" spans="1:6">
      <c r="B22" s="25"/>
    </row>
    <row r="23" spans="1:6">
      <c r="B23" s="25"/>
    </row>
    <row r="24" spans="1:6">
      <c r="B24" s="25"/>
      <c r="C24" s="1970" t="s">
        <v>747</v>
      </c>
      <c r="D24" s="1970"/>
    </row>
    <row r="25" spans="1:6">
      <c r="B25" s="25"/>
    </row>
    <row r="278" spans="3:3">
      <c r="C278" s="162" t="s">
        <v>547</v>
      </c>
    </row>
  </sheetData>
  <mergeCells count="7">
    <mergeCell ref="C24:D24"/>
    <mergeCell ref="C20:D20"/>
    <mergeCell ref="A1:B1"/>
    <mergeCell ref="A2:B2"/>
    <mergeCell ref="A4:D4"/>
    <mergeCell ref="C5:D5"/>
    <mergeCell ref="C19:D19"/>
  </mergeCells>
  <pageMargins left="0.67" right="0.51" top="0.73" bottom="0.75" header="0.54" footer="0.3"/>
  <pageSetup paperSize="9"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G43"/>
  <sheetViews>
    <sheetView view="pageBreakPreview" zoomScaleNormal="100" zoomScaleSheetLayoutView="100" workbookViewId="0">
      <selection activeCell="B19" sqref="B19"/>
    </sheetView>
  </sheetViews>
  <sheetFormatPr baseColWidth="10" defaultColWidth="9.1640625" defaultRowHeight="15"/>
  <cols>
    <col min="1" max="1" width="5.33203125" style="839" customWidth="1"/>
    <col min="2" max="2" width="46" style="838" bestFit="1" customWidth="1"/>
    <col min="3" max="3" width="24.1640625" style="840" customWidth="1"/>
    <col min="4" max="4" width="26.5" style="840" customWidth="1"/>
    <col min="5" max="5" width="24" style="840" customWidth="1"/>
    <col min="6" max="6" width="28.33203125" style="840" customWidth="1"/>
    <col min="7" max="7" width="19" style="838" customWidth="1"/>
    <col min="8" max="256" width="9.1640625" style="838"/>
    <col min="257" max="257" width="5.33203125" style="838" customWidth="1"/>
    <col min="258" max="258" width="46" style="838" bestFit="1" customWidth="1"/>
    <col min="259" max="259" width="24.1640625" style="838" customWidth="1"/>
    <col min="260" max="260" width="21.83203125" style="838" customWidth="1"/>
    <col min="261" max="261" width="17.33203125" style="838" customWidth="1"/>
    <col min="262" max="262" width="16.5" style="838" bestFit="1" customWidth="1"/>
    <col min="263" max="263" width="19" style="838" customWidth="1"/>
    <col min="264" max="512" width="9.1640625" style="838"/>
    <col min="513" max="513" width="5.33203125" style="838" customWidth="1"/>
    <col min="514" max="514" width="46" style="838" bestFit="1" customWidth="1"/>
    <col min="515" max="515" width="24.1640625" style="838" customWidth="1"/>
    <col min="516" max="516" width="21.83203125" style="838" customWidth="1"/>
    <col min="517" max="517" width="17.33203125" style="838" customWidth="1"/>
    <col min="518" max="518" width="16.5" style="838" bestFit="1" customWidth="1"/>
    <col min="519" max="519" width="19" style="838" customWidth="1"/>
    <col min="520" max="768" width="9.1640625" style="838"/>
    <col min="769" max="769" width="5.33203125" style="838" customWidth="1"/>
    <col min="770" max="770" width="46" style="838" bestFit="1" customWidth="1"/>
    <col min="771" max="771" width="24.1640625" style="838" customWidth="1"/>
    <col min="772" max="772" width="21.83203125" style="838" customWidth="1"/>
    <col min="773" max="773" width="17.33203125" style="838" customWidth="1"/>
    <col min="774" max="774" width="16.5" style="838" bestFit="1" customWidth="1"/>
    <col min="775" max="775" width="19" style="838" customWidth="1"/>
    <col min="776" max="1024" width="9.1640625" style="838"/>
    <col min="1025" max="1025" width="5.33203125" style="838" customWidth="1"/>
    <col min="1026" max="1026" width="46" style="838" bestFit="1" customWidth="1"/>
    <col min="1027" max="1027" width="24.1640625" style="838" customWidth="1"/>
    <col min="1028" max="1028" width="21.83203125" style="838" customWidth="1"/>
    <col min="1029" max="1029" width="17.33203125" style="838" customWidth="1"/>
    <col min="1030" max="1030" width="16.5" style="838" bestFit="1" customWidth="1"/>
    <col min="1031" max="1031" width="19" style="838" customWidth="1"/>
    <col min="1032" max="1280" width="9.1640625" style="838"/>
    <col min="1281" max="1281" width="5.33203125" style="838" customWidth="1"/>
    <col min="1282" max="1282" width="46" style="838" bestFit="1" customWidth="1"/>
    <col min="1283" max="1283" width="24.1640625" style="838" customWidth="1"/>
    <col min="1284" max="1284" width="21.83203125" style="838" customWidth="1"/>
    <col min="1285" max="1285" width="17.33203125" style="838" customWidth="1"/>
    <col min="1286" max="1286" width="16.5" style="838" bestFit="1" customWidth="1"/>
    <col min="1287" max="1287" width="19" style="838" customWidth="1"/>
    <col min="1288" max="1536" width="9.1640625" style="838"/>
    <col min="1537" max="1537" width="5.33203125" style="838" customWidth="1"/>
    <col min="1538" max="1538" width="46" style="838" bestFit="1" customWidth="1"/>
    <col min="1539" max="1539" width="24.1640625" style="838" customWidth="1"/>
    <col min="1540" max="1540" width="21.83203125" style="838" customWidth="1"/>
    <col min="1541" max="1541" width="17.33203125" style="838" customWidth="1"/>
    <col min="1542" max="1542" width="16.5" style="838" bestFit="1" customWidth="1"/>
    <col min="1543" max="1543" width="19" style="838" customWidth="1"/>
    <col min="1544" max="1792" width="9.1640625" style="838"/>
    <col min="1793" max="1793" width="5.33203125" style="838" customWidth="1"/>
    <col min="1794" max="1794" width="46" style="838" bestFit="1" customWidth="1"/>
    <col min="1795" max="1795" width="24.1640625" style="838" customWidth="1"/>
    <col min="1796" max="1796" width="21.83203125" style="838" customWidth="1"/>
    <col min="1797" max="1797" width="17.33203125" style="838" customWidth="1"/>
    <col min="1798" max="1798" width="16.5" style="838" bestFit="1" customWidth="1"/>
    <col min="1799" max="1799" width="19" style="838" customWidth="1"/>
    <col min="1800" max="2048" width="9.1640625" style="838"/>
    <col min="2049" max="2049" width="5.33203125" style="838" customWidth="1"/>
    <col min="2050" max="2050" width="46" style="838" bestFit="1" customWidth="1"/>
    <col min="2051" max="2051" width="24.1640625" style="838" customWidth="1"/>
    <col min="2052" max="2052" width="21.83203125" style="838" customWidth="1"/>
    <col min="2053" max="2053" width="17.33203125" style="838" customWidth="1"/>
    <col min="2054" max="2054" width="16.5" style="838" bestFit="1" customWidth="1"/>
    <col min="2055" max="2055" width="19" style="838" customWidth="1"/>
    <col min="2056" max="2304" width="9.1640625" style="838"/>
    <col min="2305" max="2305" width="5.33203125" style="838" customWidth="1"/>
    <col min="2306" max="2306" width="46" style="838" bestFit="1" customWidth="1"/>
    <col min="2307" max="2307" width="24.1640625" style="838" customWidth="1"/>
    <col min="2308" max="2308" width="21.83203125" style="838" customWidth="1"/>
    <col min="2309" max="2309" width="17.33203125" style="838" customWidth="1"/>
    <col min="2310" max="2310" width="16.5" style="838" bestFit="1" customWidth="1"/>
    <col min="2311" max="2311" width="19" style="838" customWidth="1"/>
    <col min="2312" max="2560" width="9.1640625" style="838"/>
    <col min="2561" max="2561" width="5.33203125" style="838" customWidth="1"/>
    <col min="2562" max="2562" width="46" style="838" bestFit="1" customWidth="1"/>
    <col min="2563" max="2563" width="24.1640625" style="838" customWidth="1"/>
    <col min="2564" max="2564" width="21.83203125" style="838" customWidth="1"/>
    <col min="2565" max="2565" width="17.33203125" style="838" customWidth="1"/>
    <col min="2566" max="2566" width="16.5" style="838" bestFit="1" customWidth="1"/>
    <col min="2567" max="2567" width="19" style="838" customWidth="1"/>
    <col min="2568" max="2816" width="9.1640625" style="838"/>
    <col min="2817" max="2817" width="5.33203125" style="838" customWidth="1"/>
    <col min="2818" max="2818" width="46" style="838" bestFit="1" customWidth="1"/>
    <col min="2819" max="2819" width="24.1640625" style="838" customWidth="1"/>
    <col min="2820" max="2820" width="21.83203125" style="838" customWidth="1"/>
    <col min="2821" max="2821" width="17.33203125" style="838" customWidth="1"/>
    <col min="2822" max="2822" width="16.5" style="838" bestFit="1" customWidth="1"/>
    <col min="2823" max="2823" width="19" style="838" customWidth="1"/>
    <col min="2824" max="3072" width="9.1640625" style="838"/>
    <col min="3073" max="3073" width="5.33203125" style="838" customWidth="1"/>
    <col min="3074" max="3074" width="46" style="838" bestFit="1" customWidth="1"/>
    <col min="3075" max="3075" width="24.1640625" style="838" customWidth="1"/>
    <col min="3076" max="3076" width="21.83203125" style="838" customWidth="1"/>
    <col min="3077" max="3077" width="17.33203125" style="838" customWidth="1"/>
    <col min="3078" max="3078" width="16.5" style="838" bestFit="1" customWidth="1"/>
    <col min="3079" max="3079" width="19" style="838" customWidth="1"/>
    <col min="3080" max="3328" width="9.1640625" style="838"/>
    <col min="3329" max="3329" width="5.33203125" style="838" customWidth="1"/>
    <col min="3330" max="3330" width="46" style="838" bestFit="1" customWidth="1"/>
    <col min="3331" max="3331" width="24.1640625" style="838" customWidth="1"/>
    <col min="3332" max="3332" width="21.83203125" style="838" customWidth="1"/>
    <col min="3333" max="3333" width="17.33203125" style="838" customWidth="1"/>
    <col min="3334" max="3334" width="16.5" style="838" bestFit="1" customWidth="1"/>
    <col min="3335" max="3335" width="19" style="838" customWidth="1"/>
    <col min="3336" max="3584" width="9.1640625" style="838"/>
    <col min="3585" max="3585" width="5.33203125" style="838" customWidth="1"/>
    <col min="3586" max="3586" width="46" style="838" bestFit="1" customWidth="1"/>
    <col min="3587" max="3587" width="24.1640625" style="838" customWidth="1"/>
    <col min="3588" max="3588" width="21.83203125" style="838" customWidth="1"/>
    <col min="3589" max="3589" width="17.33203125" style="838" customWidth="1"/>
    <col min="3590" max="3590" width="16.5" style="838" bestFit="1" customWidth="1"/>
    <col min="3591" max="3591" width="19" style="838" customWidth="1"/>
    <col min="3592" max="3840" width="9.1640625" style="838"/>
    <col min="3841" max="3841" width="5.33203125" style="838" customWidth="1"/>
    <col min="3842" max="3842" width="46" style="838" bestFit="1" customWidth="1"/>
    <col min="3843" max="3843" width="24.1640625" style="838" customWidth="1"/>
    <col min="3844" max="3844" width="21.83203125" style="838" customWidth="1"/>
    <col min="3845" max="3845" width="17.33203125" style="838" customWidth="1"/>
    <col min="3846" max="3846" width="16.5" style="838" bestFit="1" customWidth="1"/>
    <col min="3847" max="3847" width="19" style="838" customWidth="1"/>
    <col min="3848" max="4096" width="9.1640625" style="838"/>
    <col min="4097" max="4097" width="5.33203125" style="838" customWidth="1"/>
    <col min="4098" max="4098" width="46" style="838" bestFit="1" customWidth="1"/>
    <col min="4099" max="4099" width="24.1640625" style="838" customWidth="1"/>
    <col min="4100" max="4100" width="21.83203125" style="838" customWidth="1"/>
    <col min="4101" max="4101" width="17.33203125" style="838" customWidth="1"/>
    <col min="4102" max="4102" width="16.5" style="838" bestFit="1" customWidth="1"/>
    <col min="4103" max="4103" width="19" style="838" customWidth="1"/>
    <col min="4104" max="4352" width="9.1640625" style="838"/>
    <col min="4353" max="4353" width="5.33203125" style="838" customWidth="1"/>
    <col min="4354" max="4354" width="46" style="838" bestFit="1" customWidth="1"/>
    <col min="4355" max="4355" width="24.1640625" style="838" customWidth="1"/>
    <col min="4356" max="4356" width="21.83203125" style="838" customWidth="1"/>
    <col min="4357" max="4357" width="17.33203125" style="838" customWidth="1"/>
    <col min="4358" max="4358" width="16.5" style="838" bestFit="1" customWidth="1"/>
    <col min="4359" max="4359" width="19" style="838" customWidth="1"/>
    <col min="4360" max="4608" width="9.1640625" style="838"/>
    <col min="4609" max="4609" width="5.33203125" style="838" customWidth="1"/>
    <col min="4610" max="4610" width="46" style="838" bestFit="1" customWidth="1"/>
    <col min="4611" max="4611" width="24.1640625" style="838" customWidth="1"/>
    <col min="4612" max="4612" width="21.83203125" style="838" customWidth="1"/>
    <col min="4613" max="4613" width="17.33203125" style="838" customWidth="1"/>
    <col min="4614" max="4614" width="16.5" style="838" bestFit="1" customWidth="1"/>
    <col min="4615" max="4615" width="19" style="838" customWidth="1"/>
    <col min="4616" max="4864" width="9.1640625" style="838"/>
    <col min="4865" max="4865" width="5.33203125" style="838" customWidth="1"/>
    <col min="4866" max="4866" width="46" style="838" bestFit="1" customWidth="1"/>
    <col min="4867" max="4867" width="24.1640625" style="838" customWidth="1"/>
    <col min="4868" max="4868" width="21.83203125" style="838" customWidth="1"/>
    <col min="4869" max="4869" width="17.33203125" style="838" customWidth="1"/>
    <col min="4870" max="4870" width="16.5" style="838" bestFit="1" customWidth="1"/>
    <col min="4871" max="4871" width="19" style="838" customWidth="1"/>
    <col min="4872" max="5120" width="9.1640625" style="838"/>
    <col min="5121" max="5121" width="5.33203125" style="838" customWidth="1"/>
    <col min="5122" max="5122" width="46" style="838" bestFit="1" customWidth="1"/>
    <col min="5123" max="5123" width="24.1640625" style="838" customWidth="1"/>
    <col min="5124" max="5124" width="21.83203125" style="838" customWidth="1"/>
    <col min="5125" max="5125" width="17.33203125" style="838" customWidth="1"/>
    <col min="5126" max="5126" width="16.5" style="838" bestFit="1" customWidth="1"/>
    <col min="5127" max="5127" width="19" style="838" customWidth="1"/>
    <col min="5128" max="5376" width="9.1640625" style="838"/>
    <col min="5377" max="5377" width="5.33203125" style="838" customWidth="1"/>
    <col min="5378" max="5378" width="46" style="838" bestFit="1" customWidth="1"/>
    <col min="5379" max="5379" width="24.1640625" style="838" customWidth="1"/>
    <col min="5380" max="5380" width="21.83203125" style="838" customWidth="1"/>
    <col min="5381" max="5381" width="17.33203125" style="838" customWidth="1"/>
    <col min="5382" max="5382" width="16.5" style="838" bestFit="1" customWidth="1"/>
    <col min="5383" max="5383" width="19" style="838" customWidth="1"/>
    <col min="5384" max="5632" width="9.1640625" style="838"/>
    <col min="5633" max="5633" width="5.33203125" style="838" customWidth="1"/>
    <col min="5634" max="5634" width="46" style="838" bestFit="1" customWidth="1"/>
    <col min="5635" max="5635" width="24.1640625" style="838" customWidth="1"/>
    <col min="5636" max="5636" width="21.83203125" style="838" customWidth="1"/>
    <col min="5637" max="5637" width="17.33203125" style="838" customWidth="1"/>
    <col min="5638" max="5638" width="16.5" style="838" bestFit="1" customWidth="1"/>
    <col min="5639" max="5639" width="19" style="838" customWidth="1"/>
    <col min="5640" max="5888" width="9.1640625" style="838"/>
    <col min="5889" max="5889" width="5.33203125" style="838" customWidth="1"/>
    <col min="5890" max="5890" width="46" style="838" bestFit="1" customWidth="1"/>
    <col min="5891" max="5891" width="24.1640625" style="838" customWidth="1"/>
    <col min="5892" max="5892" width="21.83203125" style="838" customWidth="1"/>
    <col min="5893" max="5893" width="17.33203125" style="838" customWidth="1"/>
    <col min="5894" max="5894" width="16.5" style="838" bestFit="1" customWidth="1"/>
    <col min="5895" max="5895" width="19" style="838" customWidth="1"/>
    <col min="5896" max="6144" width="9.1640625" style="838"/>
    <col min="6145" max="6145" width="5.33203125" style="838" customWidth="1"/>
    <col min="6146" max="6146" width="46" style="838" bestFit="1" customWidth="1"/>
    <col min="6147" max="6147" width="24.1640625" style="838" customWidth="1"/>
    <col min="6148" max="6148" width="21.83203125" style="838" customWidth="1"/>
    <col min="6149" max="6149" width="17.33203125" style="838" customWidth="1"/>
    <col min="6150" max="6150" width="16.5" style="838" bestFit="1" customWidth="1"/>
    <col min="6151" max="6151" width="19" style="838" customWidth="1"/>
    <col min="6152" max="6400" width="9.1640625" style="838"/>
    <col min="6401" max="6401" width="5.33203125" style="838" customWidth="1"/>
    <col min="6402" max="6402" width="46" style="838" bestFit="1" customWidth="1"/>
    <col min="6403" max="6403" width="24.1640625" style="838" customWidth="1"/>
    <col min="6404" max="6404" width="21.83203125" style="838" customWidth="1"/>
    <col min="6405" max="6405" width="17.33203125" style="838" customWidth="1"/>
    <col min="6406" max="6406" width="16.5" style="838" bestFit="1" customWidth="1"/>
    <col min="6407" max="6407" width="19" style="838" customWidth="1"/>
    <col min="6408" max="6656" width="9.1640625" style="838"/>
    <col min="6657" max="6657" width="5.33203125" style="838" customWidth="1"/>
    <col min="6658" max="6658" width="46" style="838" bestFit="1" customWidth="1"/>
    <col min="6659" max="6659" width="24.1640625" style="838" customWidth="1"/>
    <col min="6660" max="6660" width="21.83203125" style="838" customWidth="1"/>
    <col min="6661" max="6661" width="17.33203125" style="838" customWidth="1"/>
    <col min="6662" max="6662" width="16.5" style="838" bestFit="1" customWidth="1"/>
    <col min="6663" max="6663" width="19" style="838" customWidth="1"/>
    <col min="6664" max="6912" width="9.1640625" style="838"/>
    <col min="6913" max="6913" width="5.33203125" style="838" customWidth="1"/>
    <col min="6914" max="6914" width="46" style="838" bestFit="1" customWidth="1"/>
    <col min="6915" max="6915" width="24.1640625" style="838" customWidth="1"/>
    <col min="6916" max="6916" width="21.83203125" style="838" customWidth="1"/>
    <col min="6917" max="6917" width="17.33203125" style="838" customWidth="1"/>
    <col min="6918" max="6918" width="16.5" style="838" bestFit="1" customWidth="1"/>
    <col min="6919" max="6919" width="19" style="838" customWidth="1"/>
    <col min="6920" max="7168" width="9.1640625" style="838"/>
    <col min="7169" max="7169" width="5.33203125" style="838" customWidth="1"/>
    <col min="7170" max="7170" width="46" style="838" bestFit="1" customWidth="1"/>
    <col min="7171" max="7171" width="24.1640625" style="838" customWidth="1"/>
    <col min="7172" max="7172" width="21.83203125" style="838" customWidth="1"/>
    <col min="7173" max="7173" width="17.33203125" style="838" customWidth="1"/>
    <col min="7174" max="7174" width="16.5" style="838" bestFit="1" customWidth="1"/>
    <col min="7175" max="7175" width="19" style="838" customWidth="1"/>
    <col min="7176" max="7424" width="9.1640625" style="838"/>
    <col min="7425" max="7425" width="5.33203125" style="838" customWidth="1"/>
    <col min="7426" max="7426" width="46" style="838" bestFit="1" customWidth="1"/>
    <col min="7427" max="7427" width="24.1640625" style="838" customWidth="1"/>
    <col min="7428" max="7428" width="21.83203125" style="838" customWidth="1"/>
    <col min="7429" max="7429" width="17.33203125" style="838" customWidth="1"/>
    <col min="7430" max="7430" width="16.5" style="838" bestFit="1" customWidth="1"/>
    <col min="7431" max="7431" width="19" style="838" customWidth="1"/>
    <col min="7432" max="7680" width="9.1640625" style="838"/>
    <col min="7681" max="7681" width="5.33203125" style="838" customWidth="1"/>
    <col min="7682" max="7682" width="46" style="838" bestFit="1" customWidth="1"/>
    <col min="7683" max="7683" width="24.1640625" style="838" customWidth="1"/>
    <col min="7684" max="7684" width="21.83203125" style="838" customWidth="1"/>
    <col min="7685" max="7685" width="17.33203125" style="838" customWidth="1"/>
    <col min="7686" max="7686" width="16.5" style="838" bestFit="1" customWidth="1"/>
    <col min="7687" max="7687" width="19" style="838" customWidth="1"/>
    <col min="7688" max="7936" width="9.1640625" style="838"/>
    <col min="7937" max="7937" width="5.33203125" style="838" customWidth="1"/>
    <col min="7938" max="7938" width="46" style="838" bestFit="1" customWidth="1"/>
    <col min="7939" max="7939" width="24.1640625" style="838" customWidth="1"/>
    <col min="7940" max="7940" width="21.83203125" style="838" customWidth="1"/>
    <col min="7941" max="7941" width="17.33203125" style="838" customWidth="1"/>
    <col min="7942" max="7942" width="16.5" style="838" bestFit="1" customWidth="1"/>
    <col min="7943" max="7943" width="19" style="838" customWidth="1"/>
    <col min="7944" max="8192" width="9.1640625" style="838"/>
    <col min="8193" max="8193" width="5.33203125" style="838" customWidth="1"/>
    <col min="8194" max="8194" width="46" style="838" bestFit="1" customWidth="1"/>
    <col min="8195" max="8195" width="24.1640625" style="838" customWidth="1"/>
    <col min="8196" max="8196" width="21.83203125" style="838" customWidth="1"/>
    <col min="8197" max="8197" width="17.33203125" style="838" customWidth="1"/>
    <col min="8198" max="8198" width="16.5" style="838" bestFit="1" customWidth="1"/>
    <col min="8199" max="8199" width="19" style="838" customWidth="1"/>
    <col min="8200" max="8448" width="9.1640625" style="838"/>
    <col min="8449" max="8449" width="5.33203125" style="838" customWidth="1"/>
    <col min="8450" max="8450" width="46" style="838" bestFit="1" customWidth="1"/>
    <col min="8451" max="8451" width="24.1640625" style="838" customWidth="1"/>
    <col min="8452" max="8452" width="21.83203125" style="838" customWidth="1"/>
    <col min="8453" max="8453" width="17.33203125" style="838" customWidth="1"/>
    <col min="8454" max="8454" width="16.5" style="838" bestFit="1" customWidth="1"/>
    <col min="8455" max="8455" width="19" style="838" customWidth="1"/>
    <col min="8456" max="8704" width="9.1640625" style="838"/>
    <col min="8705" max="8705" width="5.33203125" style="838" customWidth="1"/>
    <col min="8706" max="8706" width="46" style="838" bestFit="1" customWidth="1"/>
    <col min="8707" max="8707" width="24.1640625" style="838" customWidth="1"/>
    <col min="8708" max="8708" width="21.83203125" style="838" customWidth="1"/>
    <col min="8709" max="8709" width="17.33203125" style="838" customWidth="1"/>
    <col min="8710" max="8710" width="16.5" style="838" bestFit="1" customWidth="1"/>
    <col min="8711" max="8711" width="19" style="838" customWidth="1"/>
    <col min="8712" max="8960" width="9.1640625" style="838"/>
    <col min="8961" max="8961" width="5.33203125" style="838" customWidth="1"/>
    <col min="8962" max="8962" width="46" style="838" bestFit="1" customWidth="1"/>
    <col min="8963" max="8963" width="24.1640625" style="838" customWidth="1"/>
    <col min="8964" max="8964" width="21.83203125" style="838" customWidth="1"/>
    <col min="8965" max="8965" width="17.33203125" style="838" customWidth="1"/>
    <col min="8966" max="8966" width="16.5" style="838" bestFit="1" customWidth="1"/>
    <col min="8967" max="8967" width="19" style="838" customWidth="1"/>
    <col min="8968" max="9216" width="9.1640625" style="838"/>
    <col min="9217" max="9217" width="5.33203125" style="838" customWidth="1"/>
    <col min="9218" max="9218" width="46" style="838" bestFit="1" customWidth="1"/>
    <col min="9219" max="9219" width="24.1640625" style="838" customWidth="1"/>
    <col min="9220" max="9220" width="21.83203125" style="838" customWidth="1"/>
    <col min="9221" max="9221" width="17.33203125" style="838" customWidth="1"/>
    <col min="9222" max="9222" width="16.5" style="838" bestFit="1" customWidth="1"/>
    <col min="9223" max="9223" width="19" style="838" customWidth="1"/>
    <col min="9224" max="9472" width="9.1640625" style="838"/>
    <col min="9473" max="9473" width="5.33203125" style="838" customWidth="1"/>
    <col min="9474" max="9474" width="46" style="838" bestFit="1" customWidth="1"/>
    <col min="9475" max="9475" width="24.1640625" style="838" customWidth="1"/>
    <col min="9476" max="9476" width="21.83203125" style="838" customWidth="1"/>
    <col min="9477" max="9477" width="17.33203125" style="838" customWidth="1"/>
    <col min="9478" max="9478" width="16.5" style="838" bestFit="1" customWidth="1"/>
    <col min="9479" max="9479" width="19" style="838" customWidth="1"/>
    <col min="9480" max="9728" width="9.1640625" style="838"/>
    <col min="9729" max="9729" width="5.33203125" style="838" customWidth="1"/>
    <col min="9730" max="9730" width="46" style="838" bestFit="1" customWidth="1"/>
    <col min="9731" max="9731" width="24.1640625" style="838" customWidth="1"/>
    <col min="9732" max="9732" width="21.83203125" style="838" customWidth="1"/>
    <col min="9733" max="9733" width="17.33203125" style="838" customWidth="1"/>
    <col min="9734" max="9734" width="16.5" style="838" bestFit="1" customWidth="1"/>
    <col min="9735" max="9735" width="19" style="838" customWidth="1"/>
    <col min="9736" max="9984" width="9.1640625" style="838"/>
    <col min="9985" max="9985" width="5.33203125" style="838" customWidth="1"/>
    <col min="9986" max="9986" width="46" style="838" bestFit="1" customWidth="1"/>
    <col min="9987" max="9987" width="24.1640625" style="838" customWidth="1"/>
    <col min="9988" max="9988" width="21.83203125" style="838" customWidth="1"/>
    <col min="9989" max="9989" width="17.33203125" style="838" customWidth="1"/>
    <col min="9990" max="9990" width="16.5" style="838" bestFit="1" customWidth="1"/>
    <col min="9991" max="9991" width="19" style="838" customWidth="1"/>
    <col min="9992" max="10240" width="9.1640625" style="838"/>
    <col min="10241" max="10241" width="5.33203125" style="838" customWidth="1"/>
    <col min="10242" max="10242" width="46" style="838" bestFit="1" customWidth="1"/>
    <col min="10243" max="10243" width="24.1640625" style="838" customWidth="1"/>
    <col min="10244" max="10244" width="21.83203125" style="838" customWidth="1"/>
    <col min="10245" max="10245" width="17.33203125" style="838" customWidth="1"/>
    <col min="10246" max="10246" width="16.5" style="838" bestFit="1" customWidth="1"/>
    <col min="10247" max="10247" width="19" style="838" customWidth="1"/>
    <col min="10248" max="10496" width="9.1640625" style="838"/>
    <col min="10497" max="10497" width="5.33203125" style="838" customWidth="1"/>
    <col min="10498" max="10498" width="46" style="838" bestFit="1" customWidth="1"/>
    <col min="10499" max="10499" width="24.1640625" style="838" customWidth="1"/>
    <col min="10500" max="10500" width="21.83203125" style="838" customWidth="1"/>
    <col min="10501" max="10501" width="17.33203125" style="838" customWidth="1"/>
    <col min="10502" max="10502" width="16.5" style="838" bestFit="1" customWidth="1"/>
    <col min="10503" max="10503" width="19" style="838" customWidth="1"/>
    <col min="10504" max="10752" width="9.1640625" style="838"/>
    <col min="10753" max="10753" width="5.33203125" style="838" customWidth="1"/>
    <col min="10754" max="10754" width="46" style="838" bestFit="1" customWidth="1"/>
    <col min="10755" max="10755" width="24.1640625" style="838" customWidth="1"/>
    <col min="10756" max="10756" width="21.83203125" style="838" customWidth="1"/>
    <col min="10757" max="10757" width="17.33203125" style="838" customWidth="1"/>
    <col min="10758" max="10758" width="16.5" style="838" bestFit="1" customWidth="1"/>
    <col min="10759" max="10759" width="19" style="838" customWidth="1"/>
    <col min="10760" max="11008" width="9.1640625" style="838"/>
    <col min="11009" max="11009" width="5.33203125" style="838" customWidth="1"/>
    <col min="11010" max="11010" width="46" style="838" bestFit="1" customWidth="1"/>
    <col min="11011" max="11011" width="24.1640625" style="838" customWidth="1"/>
    <col min="11012" max="11012" width="21.83203125" style="838" customWidth="1"/>
    <col min="11013" max="11013" width="17.33203125" style="838" customWidth="1"/>
    <col min="11014" max="11014" width="16.5" style="838" bestFit="1" customWidth="1"/>
    <col min="11015" max="11015" width="19" style="838" customWidth="1"/>
    <col min="11016" max="11264" width="9.1640625" style="838"/>
    <col min="11265" max="11265" width="5.33203125" style="838" customWidth="1"/>
    <col min="11266" max="11266" width="46" style="838" bestFit="1" customWidth="1"/>
    <col min="11267" max="11267" width="24.1640625" style="838" customWidth="1"/>
    <col min="11268" max="11268" width="21.83203125" style="838" customWidth="1"/>
    <col min="11269" max="11269" width="17.33203125" style="838" customWidth="1"/>
    <col min="11270" max="11270" width="16.5" style="838" bestFit="1" customWidth="1"/>
    <col min="11271" max="11271" width="19" style="838" customWidth="1"/>
    <col min="11272" max="11520" width="9.1640625" style="838"/>
    <col min="11521" max="11521" width="5.33203125" style="838" customWidth="1"/>
    <col min="11522" max="11522" width="46" style="838" bestFit="1" customWidth="1"/>
    <col min="11523" max="11523" width="24.1640625" style="838" customWidth="1"/>
    <col min="11524" max="11524" width="21.83203125" style="838" customWidth="1"/>
    <col min="11525" max="11525" width="17.33203125" style="838" customWidth="1"/>
    <col min="11526" max="11526" width="16.5" style="838" bestFit="1" customWidth="1"/>
    <col min="11527" max="11527" width="19" style="838" customWidth="1"/>
    <col min="11528" max="11776" width="9.1640625" style="838"/>
    <col min="11777" max="11777" width="5.33203125" style="838" customWidth="1"/>
    <col min="11778" max="11778" width="46" style="838" bestFit="1" customWidth="1"/>
    <col min="11779" max="11779" width="24.1640625" style="838" customWidth="1"/>
    <col min="11780" max="11780" width="21.83203125" style="838" customWidth="1"/>
    <col min="11781" max="11781" width="17.33203125" style="838" customWidth="1"/>
    <col min="11782" max="11782" width="16.5" style="838" bestFit="1" customWidth="1"/>
    <col min="11783" max="11783" width="19" style="838" customWidth="1"/>
    <col min="11784" max="12032" width="9.1640625" style="838"/>
    <col min="12033" max="12033" width="5.33203125" style="838" customWidth="1"/>
    <col min="12034" max="12034" width="46" style="838" bestFit="1" customWidth="1"/>
    <col min="12035" max="12035" width="24.1640625" style="838" customWidth="1"/>
    <col min="12036" max="12036" width="21.83203125" style="838" customWidth="1"/>
    <col min="12037" max="12037" width="17.33203125" style="838" customWidth="1"/>
    <col min="12038" max="12038" width="16.5" style="838" bestFit="1" customWidth="1"/>
    <col min="12039" max="12039" width="19" style="838" customWidth="1"/>
    <col min="12040" max="12288" width="9.1640625" style="838"/>
    <col min="12289" max="12289" width="5.33203125" style="838" customWidth="1"/>
    <col min="12290" max="12290" width="46" style="838" bestFit="1" customWidth="1"/>
    <col min="12291" max="12291" width="24.1640625" style="838" customWidth="1"/>
    <col min="12292" max="12292" width="21.83203125" style="838" customWidth="1"/>
    <col min="12293" max="12293" width="17.33203125" style="838" customWidth="1"/>
    <col min="12294" max="12294" width="16.5" style="838" bestFit="1" customWidth="1"/>
    <col min="12295" max="12295" width="19" style="838" customWidth="1"/>
    <col min="12296" max="12544" width="9.1640625" style="838"/>
    <col min="12545" max="12545" width="5.33203125" style="838" customWidth="1"/>
    <col min="12546" max="12546" width="46" style="838" bestFit="1" customWidth="1"/>
    <col min="12547" max="12547" width="24.1640625" style="838" customWidth="1"/>
    <col min="12548" max="12548" width="21.83203125" style="838" customWidth="1"/>
    <col min="12549" max="12549" width="17.33203125" style="838" customWidth="1"/>
    <col min="12550" max="12550" width="16.5" style="838" bestFit="1" customWidth="1"/>
    <col min="12551" max="12551" width="19" style="838" customWidth="1"/>
    <col min="12552" max="12800" width="9.1640625" style="838"/>
    <col min="12801" max="12801" width="5.33203125" style="838" customWidth="1"/>
    <col min="12802" max="12802" width="46" style="838" bestFit="1" customWidth="1"/>
    <col min="12803" max="12803" width="24.1640625" style="838" customWidth="1"/>
    <col min="12804" max="12804" width="21.83203125" style="838" customWidth="1"/>
    <col min="12805" max="12805" width="17.33203125" style="838" customWidth="1"/>
    <col min="12806" max="12806" width="16.5" style="838" bestFit="1" customWidth="1"/>
    <col min="12807" max="12807" width="19" style="838" customWidth="1"/>
    <col min="12808" max="13056" width="9.1640625" style="838"/>
    <col min="13057" max="13057" width="5.33203125" style="838" customWidth="1"/>
    <col min="13058" max="13058" width="46" style="838" bestFit="1" customWidth="1"/>
    <col min="13059" max="13059" width="24.1640625" style="838" customWidth="1"/>
    <col min="13060" max="13060" width="21.83203125" style="838" customWidth="1"/>
    <col min="13061" max="13061" width="17.33203125" style="838" customWidth="1"/>
    <col min="13062" max="13062" width="16.5" style="838" bestFit="1" customWidth="1"/>
    <col min="13063" max="13063" width="19" style="838" customWidth="1"/>
    <col min="13064" max="13312" width="9.1640625" style="838"/>
    <col min="13313" max="13313" width="5.33203125" style="838" customWidth="1"/>
    <col min="13314" max="13314" width="46" style="838" bestFit="1" customWidth="1"/>
    <col min="13315" max="13315" width="24.1640625" style="838" customWidth="1"/>
    <col min="13316" max="13316" width="21.83203125" style="838" customWidth="1"/>
    <col min="13317" max="13317" width="17.33203125" style="838" customWidth="1"/>
    <col min="13318" max="13318" width="16.5" style="838" bestFit="1" customWidth="1"/>
    <col min="13319" max="13319" width="19" style="838" customWidth="1"/>
    <col min="13320" max="13568" width="9.1640625" style="838"/>
    <col min="13569" max="13569" width="5.33203125" style="838" customWidth="1"/>
    <col min="13570" max="13570" width="46" style="838" bestFit="1" customWidth="1"/>
    <col min="13571" max="13571" width="24.1640625" style="838" customWidth="1"/>
    <col min="13572" max="13572" width="21.83203125" style="838" customWidth="1"/>
    <col min="13573" max="13573" width="17.33203125" style="838" customWidth="1"/>
    <col min="13574" max="13574" width="16.5" style="838" bestFit="1" customWidth="1"/>
    <col min="13575" max="13575" width="19" style="838" customWidth="1"/>
    <col min="13576" max="13824" width="9.1640625" style="838"/>
    <col min="13825" max="13825" width="5.33203125" style="838" customWidth="1"/>
    <col min="13826" max="13826" width="46" style="838" bestFit="1" customWidth="1"/>
    <col min="13827" max="13827" width="24.1640625" style="838" customWidth="1"/>
    <col min="13828" max="13828" width="21.83203125" style="838" customWidth="1"/>
    <col min="13829" max="13829" width="17.33203125" style="838" customWidth="1"/>
    <col min="13830" max="13830" width="16.5" style="838" bestFit="1" customWidth="1"/>
    <col min="13831" max="13831" width="19" style="838" customWidth="1"/>
    <col min="13832" max="14080" width="9.1640625" style="838"/>
    <col min="14081" max="14081" width="5.33203125" style="838" customWidth="1"/>
    <col min="14082" max="14082" width="46" style="838" bestFit="1" customWidth="1"/>
    <col min="14083" max="14083" width="24.1640625" style="838" customWidth="1"/>
    <col min="14084" max="14084" width="21.83203125" style="838" customWidth="1"/>
    <col min="14085" max="14085" width="17.33203125" style="838" customWidth="1"/>
    <col min="14086" max="14086" width="16.5" style="838" bestFit="1" customWidth="1"/>
    <col min="14087" max="14087" width="19" style="838" customWidth="1"/>
    <col min="14088" max="14336" width="9.1640625" style="838"/>
    <col min="14337" max="14337" width="5.33203125" style="838" customWidth="1"/>
    <col min="14338" max="14338" width="46" style="838" bestFit="1" customWidth="1"/>
    <col min="14339" max="14339" width="24.1640625" style="838" customWidth="1"/>
    <col min="14340" max="14340" width="21.83203125" style="838" customWidth="1"/>
    <col min="14341" max="14341" width="17.33203125" style="838" customWidth="1"/>
    <col min="14342" max="14342" width="16.5" style="838" bestFit="1" customWidth="1"/>
    <col min="14343" max="14343" width="19" style="838" customWidth="1"/>
    <col min="14344" max="14592" width="9.1640625" style="838"/>
    <col min="14593" max="14593" width="5.33203125" style="838" customWidth="1"/>
    <col min="14594" max="14594" width="46" style="838" bestFit="1" customWidth="1"/>
    <col min="14595" max="14595" width="24.1640625" style="838" customWidth="1"/>
    <col min="14596" max="14596" width="21.83203125" style="838" customWidth="1"/>
    <col min="14597" max="14597" width="17.33203125" style="838" customWidth="1"/>
    <col min="14598" max="14598" width="16.5" style="838" bestFit="1" customWidth="1"/>
    <col min="14599" max="14599" width="19" style="838" customWidth="1"/>
    <col min="14600" max="14848" width="9.1640625" style="838"/>
    <col min="14849" max="14849" width="5.33203125" style="838" customWidth="1"/>
    <col min="14850" max="14850" width="46" style="838" bestFit="1" customWidth="1"/>
    <col min="14851" max="14851" width="24.1640625" style="838" customWidth="1"/>
    <col min="14852" max="14852" width="21.83203125" style="838" customWidth="1"/>
    <col min="14853" max="14853" width="17.33203125" style="838" customWidth="1"/>
    <col min="14854" max="14854" width="16.5" style="838" bestFit="1" customWidth="1"/>
    <col min="14855" max="14855" width="19" style="838" customWidth="1"/>
    <col min="14856" max="15104" width="9.1640625" style="838"/>
    <col min="15105" max="15105" width="5.33203125" style="838" customWidth="1"/>
    <col min="15106" max="15106" width="46" style="838" bestFit="1" customWidth="1"/>
    <col min="15107" max="15107" width="24.1640625" style="838" customWidth="1"/>
    <col min="15108" max="15108" width="21.83203125" style="838" customWidth="1"/>
    <col min="15109" max="15109" width="17.33203125" style="838" customWidth="1"/>
    <col min="15110" max="15110" width="16.5" style="838" bestFit="1" customWidth="1"/>
    <col min="15111" max="15111" width="19" style="838" customWidth="1"/>
    <col min="15112" max="15360" width="9.1640625" style="838"/>
    <col min="15361" max="15361" width="5.33203125" style="838" customWidth="1"/>
    <col min="15362" max="15362" width="46" style="838" bestFit="1" customWidth="1"/>
    <col min="15363" max="15363" width="24.1640625" style="838" customWidth="1"/>
    <col min="15364" max="15364" width="21.83203125" style="838" customWidth="1"/>
    <col min="15365" max="15365" width="17.33203125" style="838" customWidth="1"/>
    <col min="15366" max="15366" width="16.5" style="838" bestFit="1" customWidth="1"/>
    <col min="15367" max="15367" width="19" style="838" customWidth="1"/>
    <col min="15368" max="15616" width="9.1640625" style="838"/>
    <col min="15617" max="15617" width="5.33203125" style="838" customWidth="1"/>
    <col min="15618" max="15618" width="46" style="838" bestFit="1" customWidth="1"/>
    <col min="15619" max="15619" width="24.1640625" style="838" customWidth="1"/>
    <col min="15620" max="15620" width="21.83203125" style="838" customWidth="1"/>
    <col min="15621" max="15621" width="17.33203125" style="838" customWidth="1"/>
    <col min="15622" max="15622" width="16.5" style="838" bestFit="1" customWidth="1"/>
    <col min="15623" max="15623" width="19" style="838" customWidth="1"/>
    <col min="15624" max="15872" width="9.1640625" style="838"/>
    <col min="15873" max="15873" width="5.33203125" style="838" customWidth="1"/>
    <col min="15874" max="15874" width="46" style="838" bestFit="1" customWidth="1"/>
    <col min="15875" max="15875" width="24.1640625" style="838" customWidth="1"/>
    <col min="15876" max="15876" width="21.83203125" style="838" customWidth="1"/>
    <col min="15877" max="15877" width="17.33203125" style="838" customWidth="1"/>
    <col min="15878" max="15878" width="16.5" style="838" bestFit="1" customWidth="1"/>
    <col min="15879" max="15879" width="19" style="838" customWidth="1"/>
    <col min="15880" max="16128" width="9.1640625" style="838"/>
    <col min="16129" max="16129" width="5.33203125" style="838" customWidth="1"/>
    <col min="16130" max="16130" width="46" style="838" bestFit="1" customWidth="1"/>
    <col min="16131" max="16131" width="24.1640625" style="838" customWidth="1"/>
    <col min="16132" max="16132" width="21.83203125" style="838" customWidth="1"/>
    <col min="16133" max="16133" width="17.33203125" style="838" customWidth="1"/>
    <col min="16134" max="16134" width="16.5" style="838" bestFit="1" customWidth="1"/>
    <col min="16135" max="16135" width="19" style="838" customWidth="1"/>
    <col min="16136" max="16384" width="9.1640625" style="838"/>
  </cols>
  <sheetData>
    <row r="1" spans="1:7" s="833" customFormat="1" ht="18" customHeight="1">
      <c r="A1" s="1979" t="s">
        <v>104</v>
      </c>
      <c r="B1" s="1979"/>
      <c r="C1" s="832"/>
      <c r="D1" s="832"/>
      <c r="E1" s="832"/>
      <c r="F1" s="832"/>
      <c r="G1" s="833" t="s">
        <v>515</v>
      </c>
    </row>
    <row r="2" spans="1:7" s="833" customFormat="1" ht="18" customHeight="1">
      <c r="A2" s="1980" t="s">
        <v>3</v>
      </c>
      <c r="B2" s="1980"/>
      <c r="C2" s="832"/>
      <c r="D2" s="832"/>
      <c r="E2" s="832"/>
      <c r="F2" s="832"/>
      <c r="G2" s="834" t="s">
        <v>243</v>
      </c>
    </row>
    <row r="3" spans="1:7" s="833" customFormat="1" ht="55.5" customHeight="1">
      <c r="A3" s="1983" t="s">
        <v>1310</v>
      </c>
      <c r="B3" s="1983"/>
      <c r="C3" s="1983"/>
      <c r="D3" s="1983"/>
      <c r="E3" s="1983"/>
      <c r="F3" s="1983"/>
      <c r="G3" s="1983"/>
    </row>
    <row r="4" spans="1:7" s="837" customFormat="1" ht="68">
      <c r="A4" s="835" t="s">
        <v>0</v>
      </c>
      <c r="B4" s="836" t="s">
        <v>87</v>
      </c>
      <c r="C4" s="836" t="s">
        <v>184</v>
      </c>
      <c r="D4" s="836" t="s">
        <v>185</v>
      </c>
      <c r="E4" s="836" t="s">
        <v>106</v>
      </c>
      <c r="F4" s="836" t="s">
        <v>105</v>
      </c>
      <c r="G4" s="836" t="s">
        <v>2</v>
      </c>
    </row>
    <row r="5" spans="1:7" s="1658" customFormat="1" ht="23" customHeight="1">
      <c r="A5" s="1655">
        <v>1</v>
      </c>
      <c r="B5" s="1656" t="s">
        <v>1311</v>
      </c>
      <c r="C5" s="1656">
        <v>2118482400</v>
      </c>
      <c r="D5" s="1656">
        <v>321362067.60000002</v>
      </c>
      <c r="E5" s="1656">
        <v>1162123261.5957217</v>
      </c>
      <c r="F5" s="1656">
        <f>SUM(C5:E5)</f>
        <v>3601967729.1957216</v>
      </c>
      <c r="G5" s="1657"/>
    </row>
    <row r="6" spans="1:7" s="1658" customFormat="1" ht="23" customHeight="1">
      <c r="A6" s="1655">
        <v>2</v>
      </c>
      <c r="B6" s="1656" t="s">
        <v>1312</v>
      </c>
      <c r="C6" s="1656">
        <v>632666400</v>
      </c>
      <c r="D6" s="1656">
        <v>97355706</v>
      </c>
      <c r="E6" s="1656">
        <v>287277841.90108645</v>
      </c>
      <c r="F6" s="1656">
        <f t="shared" ref="F6:F42" si="0">SUM(C6:E6)</f>
        <v>1017299947.9010864</v>
      </c>
      <c r="G6" s="1657"/>
    </row>
    <row r="7" spans="1:7" s="1658" customFormat="1" ht="23" customHeight="1">
      <c r="A7" s="1655">
        <v>3</v>
      </c>
      <c r="B7" s="1656" t="s">
        <v>1313</v>
      </c>
      <c r="C7" s="1656">
        <v>834229401.60000002</v>
      </c>
      <c r="D7" s="1656">
        <v>134934924.47999999</v>
      </c>
      <c r="E7" s="1656">
        <v>442023488.76383674</v>
      </c>
      <c r="F7" s="1656">
        <f t="shared" si="0"/>
        <v>1411187814.8438368</v>
      </c>
      <c r="G7" s="1657"/>
    </row>
    <row r="8" spans="1:7" s="1658" customFormat="1" ht="23" customHeight="1">
      <c r="A8" s="1655">
        <v>4</v>
      </c>
      <c r="B8" s="1656" t="s">
        <v>1314</v>
      </c>
      <c r="C8" s="1656">
        <v>1175505480</v>
      </c>
      <c r="D8" s="1656">
        <v>95259007.799999997</v>
      </c>
      <c r="E8" s="1656">
        <v>868124558.58076119</v>
      </c>
      <c r="F8" s="1656">
        <f t="shared" si="0"/>
        <v>2138889046.3807611</v>
      </c>
      <c r="G8" s="1656"/>
    </row>
    <row r="9" spans="1:7" s="1658" customFormat="1" ht="23" customHeight="1">
      <c r="A9" s="1655">
        <v>5</v>
      </c>
      <c r="B9" s="1656" t="s">
        <v>1315</v>
      </c>
      <c r="C9" s="1656">
        <v>68207040</v>
      </c>
      <c r="D9" s="1656">
        <v>9832212</v>
      </c>
      <c r="E9" s="1656">
        <v>26178900.304756787</v>
      </c>
      <c r="F9" s="1656">
        <f t="shared" si="0"/>
        <v>104218152.30475679</v>
      </c>
      <c r="G9" s="1656"/>
    </row>
    <row r="10" spans="1:7" s="1658" customFormat="1" ht="23" customHeight="1">
      <c r="A10" s="1655">
        <v>6</v>
      </c>
      <c r="B10" s="1656" t="s">
        <v>1316</v>
      </c>
      <c r="C10" s="1656">
        <v>1348468776</v>
      </c>
      <c r="D10" s="1656">
        <v>209578220.75999999</v>
      </c>
      <c r="E10" s="1656">
        <v>684423279.70326042</v>
      </c>
      <c r="F10" s="1656">
        <f t="shared" si="0"/>
        <v>2242470276.4632607</v>
      </c>
      <c r="G10" s="1656"/>
    </row>
    <row r="11" spans="1:7" s="1658" customFormat="1" ht="23" customHeight="1">
      <c r="A11" s="1659">
        <v>7</v>
      </c>
      <c r="B11" s="1660" t="s">
        <v>1317</v>
      </c>
      <c r="C11" s="1660">
        <v>5556396735.6000004</v>
      </c>
      <c r="D11" s="1660">
        <v>851593302.21000004</v>
      </c>
      <c r="E11" s="1660">
        <v>4666810417.2142477</v>
      </c>
      <c r="F11" s="1660">
        <f t="shared" si="0"/>
        <v>11074800455.024248</v>
      </c>
      <c r="G11" s="1660"/>
    </row>
    <row r="12" spans="1:7" s="1658" customFormat="1" ht="23" customHeight="1">
      <c r="A12" s="1655">
        <v>8</v>
      </c>
      <c r="B12" s="1656" t="s">
        <v>1318</v>
      </c>
      <c r="C12" s="1656">
        <v>2711943144</v>
      </c>
      <c r="D12" s="1656">
        <v>417842958.83999997</v>
      </c>
      <c r="E12" s="1656">
        <v>889946816.35768318</v>
      </c>
      <c r="F12" s="1656">
        <f t="shared" si="0"/>
        <v>4019732919.1976833</v>
      </c>
      <c r="G12" s="1656"/>
    </row>
    <row r="13" spans="1:7" s="1658" customFormat="1" ht="23" customHeight="1">
      <c r="A13" s="1655">
        <v>9</v>
      </c>
      <c r="B13" s="1656" t="s">
        <v>569</v>
      </c>
      <c r="C13" s="1656">
        <v>5672395056</v>
      </c>
      <c r="D13" s="1656">
        <v>881656130.75999999</v>
      </c>
      <c r="E13" s="1656">
        <v>3572226456.3235579</v>
      </c>
      <c r="F13" s="1656">
        <f t="shared" si="0"/>
        <v>10126277643.083557</v>
      </c>
      <c r="G13" s="1656"/>
    </row>
    <row r="14" spans="1:7" s="1658" customFormat="1" ht="23" customHeight="1">
      <c r="A14" s="1655">
        <v>10</v>
      </c>
      <c r="B14" s="1656" t="s">
        <v>570</v>
      </c>
      <c r="C14" s="1656">
        <v>3615900744</v>
      </c>
      <c r="D14" s="1656">
        <v>560412133.73999989</v>
      </c>
      <c r="E14" s="1656">
        <v>4423898938.0060272</v>
      </c>
      <c r="F14" s="1656">
        <f t="shared" si="0"/>
        <v>8600211815.746027</v>
      </c>
      <c r="G14" s="1656"/>
    </row>
    <row r="15" spans="1:7" s="1658" customFormat="1" ht="23" customHeight="1">
      <c r="A15" s="1655">
        <v>11</v>
      </c>
      <c r="B15" s="1656" t="s">
        <v>1319</v>
      </c>
      <c r="C15" s="1656">
        <v>6886295268</v>
      </c>
      <c r="D15" s="1656">
        <v>1079396620.3799999</v>
      </c>
      <c r="E15" s="1656">
        <v>3267612899.3797483</v>
      </c>
      <c r="F15" s="1656">
        <f t="shared" si="0"/>
        <v>11233304787.759748</v>
      </c>
      <c r="G15" s="1656"/>
    </row>
    <row r="16" spans="1:7" s="1658" customFormat="1" ht="23" customHeight="1">
      <c r="A16" s="1655">
        <v>12</v>
      </c>
      <c r="B16" s="1656" t="s">
        <v>1320</v>
      </c>
      <c r="C16" s="1656">
        <v>4021341172.8000002</v>
      </c>
      <c r="D16" s="1656">
        <v>683882867.10000002</v>
      </c>
      <c r="E16" s="1656">
        <v>2350644934.4309459</v>
      </c>
      <c r="F16" s="1656">
        <f t="shared" si="0"/>
        <v>7055868974.330946</v>
      </c>
      <c r="G16" s="1656"/>
    </row>
    <row r="17" spans="1:7" s="1658" customFormat="1" ht="23" customHeight="1">
      <c r="A17" s="1655">
        <v>13</v>
      </c>
      <c r="B17" s="1656" t="s">
        <v>1321</v>
      </c>
      <c r="C17" s="1656">
        <v>864248712</v>
      </c>
      <c r="D17" s="1656">
        <v>131799541.31999999</v>
      </c>
      <c r="E17" s="1656">
        <v>508846108.14884198</v>
      </c>
      <c r="F17" s="1656">
        <f t="shared" si="0"/>
        <v>1504894361.468842</v>
      </c>
      <c r="G17" s="1656"/>
    </row>
    <row r="18" spans="1:7" s="1658" customFormat="1" ht="23" customHeight="1">
      <c r="A18" s="1655">
        <v>14</v>
      </c>
      <c r="B18" s="1656" t="s">
        <v>186</v>
      </c>
      <c r="C18" s="1656">
        <v>1084491744</v>
      </c>
      <c r="D18" s="1656">
        <v>167781235.44</v>
      </c>
      <c r="E18" s="1656">
        <v>536949534.79609585</v>
      </c>
      <c r="F18" s="1656">
        <f t="shared" si="0"/>
        <v>1789222514.2360959</v>
      </c>
      <c r="G18" s="1656"/>
    </row>
    <row r="19" spans="1:7" s="1658" customFormat="1" ht="23" customHeight="1">
      <c r="A19" s="1655">
        <v>15</v>
      </c>
      <c r="B19" s="1656" t="s">
        <v>187</v>
      </c>
      <c r="C19" s="1656">
        <v>1118441616</v>
      </c>
      <c r="D19" s="1656">
        <v>176178112.56</v>
      </c>
      <c r="E19" s="1656">
        <v>450567686.21524531</v>
      </c>
      <c r="F19" s="1656">
        <f t="shared" si="0"/>
        <v>1745187414.7752452</v>
      </c>
      <c r="G19" s="1656"/>
    </row>
    <row r="20" spans="1:7" s="1658" customFormat="1" ht="23" customHeight="1">
      <c r="A20" s="1655">
        <v>16</v>
      </c>
      <c r="B20" s="1656" t="s">
        <v>188</v>
      </c>
      <c r="C20" s="1656">
        <v>1379758780.8000002</v>
      </c>
      <c r="D20" s="1656">
        <v>216862461.24000001</v>
      </c>
      <c r="E20" s="1656">
        <v>810715080.2913487</v>
      </c>
      <c r="F20" s="1656">
        <f t="shared" si="0"/>
        <v>2407336322.3313489</v>
      </c>
      <c r="G20" s="1656"/>
    </row>
    <row r="21" spans="1:7" s="1658" customFormat="1" ht="23" customHeight="1">
      <c r="A21" s="1655">
        <v>17</v>
      </c>
      <c r="B21" s="1656" t="s">
        <v>1322</v>
      </c>
      <c r="C21" s="1656">
        <v>1210701600</v>
      </c>
      <c r="D21" s="1656">
        <v>188450730</v>
      </c>
      <c r="E21" s="1656">
        <v>742595992.81170547</v>
      </c>
      <c r="F21" s="1656">
        <f t="shared" si="0"/>
        <v>2141748322.8117056</v>
      </c>
      <c r="G21" s="1656"/>
    </row>
    <row r="22" spans="1:7" s="1658" customFormat="1" ht="23" customHeight="1">
      <c r="A22" s="1655">
        <v>18</v>
      </c>
      <c r="B22" s="1656" t="s">
        <v>189</v>
      </c>
      <c r="C22" s="1656">
        <v>927086184</v>
      </c>
      <c r="D22" s="1656">
        <v>143917112.34</v>
      </c>
      <c r="E22" s="1656">
        <v>514040630.59484255</v>
      </c>
      <c r="F22" s="1656">
        <f t="shared" si="0"/>
        <v>1585043926.9348426</v>
      </c>
      <c r="G22" s="1656"/>
    </row>
    <row r="23" spans="1:7" s="1658" customFormat="1" ht="23" customHeight="1">
      <c r="A23" s="1655">
        <v>19</v>
      </c>
      <c r="B23" s="1656" t="s">
        <v>1323</v>
      </c>
      <c r="C23" s="1656">
        <v>2680057224</v>
      </c>
      <c r="D23" s="1656">
        <v>421432136.39999998</v>
      </c>
      <c r="E23" s="1656">
        <v>1509705573.8724174</v>
      </c>
      <c r="F23" s="1656">
        <f t="shared" si="0"/>
        <v>4611194934.2724171</v>
      </c>
      <c r="G23" s="1656"/>
    </row>
    <row r="24" spans="1:7" s="1658" customFormat="1" ht="23" customHeight="1">
      <c r="A24" s="1655">
        <v>20</v>
      </c>
      <c r="B24" s="1656" t="s">
        <v>844</v>
      </c>
      <c r="C24" s="1656">
        <v>774546192</v>
      </c>
      <c r="D24" s="1656">
        <v>121400086.31999999</v>
      </c>
      <c r="E24" s="1656">
        <v>367131265.13758743</v>
      </c>
      <c r="F24" s="1656">
        <f t="shared" si="0"/>
        <v>1263077543.4575872</v>
      </c>
      <c r="G24" s="1656"/>
    </row>
    <row r="25" spans="1:7" s="1658" customFormat="1" ht="23" customHeight="1">
      <c r="A25" s="1655">
        <v>21</v>
      </c>
      <c r="B25" s="1656" t="s">
        <v>1324</v>
      </c>
      <c r="C25" s="1656">
        <v>668900160</v>
      </c>
      <c r="D25" s="1656">
        <v>104238254.40000001</v>
      </c>
      <c r="E25" s="1656">
        <v>379920479.56602949</v>
      </c>
      <c r="F25" s="1656">
        <f t="shared" si="0"/>
        <v>1153058893.9660294</v>
      </c>
      <c r="G25" s="1656"/>
    </row>
    <row r="26" spans="1:7" s="1658" customFormat="1" ht="23" customHeight="1">
      <c r="A26" s="1655">
        <v>22</v>
      </c>
      <c r="B26" s="1656" t="s">
        <v>1325</v>
      </c>
      <c r="C26" s="1656">
        <v>555628896</v>
      </c>
      <c r="D26" s="1656">
        <v>84116674.560000002</v>
      </c>
      <c r="E26" s="1656">
        <v>311260199.76039094</v>
      </c>
      <c r="F26" s="1656">
        <f t="shared" si="0"/>
        <v>951005770.32039094</v>
      </c>
      <c r="G26" s="1656"/>
    </row>
    <row r="27" spans="1:7" s="1658" customFormat="1" ht="23" customHeight="1">
      <c r="A27" s="1655">
        <v>23</v>
      </c>
      <c r="B27" s="1656" t="s">
        <v>190</v>
      </c>
      <c r="C27" s="1656">
        <v>726072432</v>
      </c>
      <c r="D27" s="1656">
        <v>111786788.09999999</v>
      </c>
      <c r="E27" s="1656">
        <v>378984835.15061623</v>
      </c>
      <c r="F27" s="1656">
        <f t="shared" si="0"/>
        <v>1216844055.2506163</v>
      </c>
      <c r="G27" s="1656"/>
    </row>
    <row r="28" spans="1:7" s="1658" customFormat="1" ht="23" customHeight="1">
      <c r="A28" s="1655">
        <v>24</v>
      </c>
      <c r="B28" s="1656" t="s">
        <v>191</v>
      </c>
      <c r="C28" s="1656">
        <v>1471976721.5999999</v>
      </c>
      <c r="D28" s="1656">
        <v>232349455.68000001</v>
      </c>
      <c r="E28" s="1656">
        <v>845138981.65740359</v>
      </c>
      <c r="F28" s="1656">
        <f t="shared" si="0"/>
        <v>2549465158.9374037</v>
      </c>
      <c r="G28" s="1656"/>
    </row>
    <row r="29" spans="1:7" s="1658" customFormat="1" ht="23" customHeight="1">
      <c r="A29" s="1655">
        <v>25</v>
      </c>
      <c r="B29" s="1656" t="s">
        <v>571</v>
      </c>
      <c r="C29" s="1656">
        <v>791483040</v>
      </c>
      <c r="D29" s="1656">
        <v>124331262</v>
      </c>
      <c r="E29" s="1656">
        <v>462007387.81940514</v>
      </c>
      <c r="F29" s="1656">
        <f t="shared" si="0"/>
        <v>1377821689.8194051</v>
      </c>
      <c r="G29" s="1656"/>
    </row>
    <row r="30" spans="1:7" s="1658" customFormat="1" ht="23" customHeight="1">
      <c r="A30" s="1655">
        <v>26</v>
      </c>
      <c r="B30" s="1656" t="s">
        <v>192</v>
      </c>
      <c r="C30" s="1656">
        <v>1290938688</v>
      </c>
      <c r="D30" s="1656">
        <v>206508385.68000001</v>
      </c>
      <c r="E30" s="1656">
        <v>664911866.44211102</v>
      </c>
      <c r="F30" s="1656">
        <f t="shared" si="0"/>
        <v>2162358940.1221113</v>
      </c>
      <c r="G30" s="1656"/>
    </row>
    <row r="31" spans="1:7" s="1658" customFormat="1" ht="23" customHeight="1">
      <c r="A31" s="1655">
        <v>27</v>
      </c>
      <c r="B31" s="1656" t="s">
        <v>1326</v>
      </c>
      <c r="C31" s="1656">
        <v>854439132</v>
      </c>
      <c r="D31" s="1656">
        <v>136612703.22</v>
      </c>
      <c r="E31" s="1656">
        <v>370637451.68081933</v>
      </c>
      <c r="F31" s="1656">
        <f t="shared" si="0"/>
        <v>1361689286.9008193</v>
      </c>
      <c r="G31" s="1656"/>
    </row>
    <row r="32" spans="1:7" s="1658" customFormat="1" ht="23" customHeight="1">
      <c r="A32" s="1655">
        <v>28</v>
      </c>
      <c r="B32" s="1656" t="s">
        <v>193</v>
      </c>
      <c r="C32" s="1656">
        <v>2047672243.2</v>
      </c>
      <c r="D32" s="1656">
        <v>314997180.96000004</v>
      </c>
      <c r="E32" s="1656">
        <v>1156242784.434732</v>
      </c>
      <c r="F32" s="1656">
        <f t="shared" si="0"/>
        <v>3518912208.5947318</v>
      </c>
      <c r="G32" s="1656"/>
    </row>
    <row r="33" spans="1:7" s="1658" customFormat="1" ht="23" customHeight="1">
      <c r="A33" s="1655">
        <v>29</v>
      </c>
      <c r="B33" s="1656" t="s">
        <v>1327</v>
      </c>
      <c r="C33" s="1656">
        <v>3030674716.8000002</v>
      </c>
      <c r="D33" s="1656">
        <v>477189182.04000002</v>
      </c>
      <c r="E33" s="1656">
        <v>1695435748.4791789</v>
      </c>
      <c r="F33" s="1656">
        <f t="shared" si="0"/>
        <v>5203299647.3191795</v>
      </c>
      <c r="G33" s="1656"/>
    </row>
    <row r="34" spans="1:7" s="1658" customFormat="1" ht="23" customHeight="1">
      <c r="A34" s="1655">
        <v>30</v>
      </c>
      <c r="B34" s="1656" t="s">
        <v>194</v>
      </c>
      <c r="C34" s="1656">
        <v>3506635910.4000001</v>
      </c>
      <c r="D34" s="1656">
        <v>538054776.12</v>
      </c>
      <c r="E34" s="1656">
        <v>1970055749.7601495</v>
      </c>
      <c r="F34" s="1656">
        <f t="shared" si="0"/>
        <v>6014746436.2801495</v>
      </c>
      <c r="G34" s="1656"/>
    </row>
    <row r="35" spans="1:7" s="1658" customFormat="1" ht="23" customHeight="1">
      <c r="A35" s="1655">
        <v>31</v>
      </c>
      <c r="B35" s="1656" t="s">
        <v>1328</v>
      </c>
      <c r="C35" s="1656">
        <v>9260153335.2000008</v>
      </c>
      <c r="D35" s="1656">
        <v>1422818558.1600001</v>
      </c>
      <c r="E35" s="1656">
        <v>3780242169.1231885</v>
      </c>
      <c r="F35" s="1656">
        <f t="shared" si="0"/>
        <v>14463214062.483189</v>
      </c>
      <c r="G35" s="1656"/>
    </row>
    <row r="36" spans="1:7" s="1658" customFormat="1" ht="23" customHeight="1">
      <c r="A36" s="1655">
        <v>32</v>
      </c>
      <c r="B36" s="1656" t="s">
        <v>1329</v>
      </c>
      <c r="C36" s="1656">
        <v>10437211083.84</v>
      </c>
      <c r="D36" s="1656">
        <v>1412313965.7203996</v>
      </c>
      <c r="E36" s="1656">
        <v>3358633958.2764158</v>
      </c>
      <c r="F36" s="1656">
        <f t="shared" si="0"/>
        <v>15208159007.836815</v>
      </c>
      <c r="G36" s="1656"/>
    </row>
    <row r="37" spans="1:7" s="1658" customFormat="1" ht="23" customHeight="1">
      <c r="A37" s="1655">
        <v>33</v>
      </c>
      <c r="B37" s="1656" t="s">
        <v>195</v>
      </c>
      <c r="C37" s="1656">
        <v>2529629868</v>
      </c>
      <c r="D37" s="1656">
        <v>397925586.4799999</v>
      </c>
      <c r="E37" s="1656">
        <v>1087511851.7475462</v>
      </c>
      <c r="F37" s="1656">
        <f t="shared" si="0"/>
        <v>4015067306.2275462</v>
      </c>
      <c r="G37" s="1656"/>
    </row>
    <row r="38" spans="1:7" s="1658" customFormat="1" ht="23" customHeight="1">
      <c r="A38" s="1655">
        <v>34</v>
      </c>
      <c r="B38" s="1656" t="s">
        <v>1330</v>
      </c>
      <c r="C38" s="1656">
        <v>5788992288</v>
      </c>
      <c r="D38" s="1656">
        <v>890393353.67999995</v>
      </c>
      <c r="E38" s="1656">
        <v>2706874972.0910139</v>
      </c>
      <c r="F38" s="1656">
        <f t="shared" si="0"/>
        <v>9386260613.7710152</v>
      </c>
      <c r="G38" s="1656"/>
    </row>
    <row r="39" spans="1:7" s="1658" customFormat="1" ht="23" customHeight="1">
      <c r="A39" s="1655">
        <v>35</v>
      </c>
      <c r="B39" s="1656" t="s">
        <v>196</v>
      </c>
      <c r="C39" s="1656">
        <v>5200174423.1999998</v>
      </c>
      <c r="D39" s="1656">
        <v>848291737.8599999</v>
      </c>
      <c r="E39" s="1656">
        <v>3188475915.0066633</v>
      </c>
      <c r="F39" s="1656">
        <f t="shared" si="0"/>
        <v>9236942076.0666618</v>
      </c>
      <c r="G39" s="1656"/>
    </row>
    <row r="40" spans="1:7" s="1658" customFormat="1" ht="23" customHeight="1">
      <c r="A40" s="1655">
        <v>36</v>
      </c>
      <c r="B40" s="1656" t="s">
        <v>572</v>
      </c>
      <c r="C40" s="1656">
        <v>4337447892</v>
      </c>
      <c r="D40" s="1656">
        <v>706290646.31999993</v>
      </c>
      <c r="E40" s="1656">
        <v>1722604967.9731114</v>
      </c>
      <c r="F40" s="1656">
        <f t="shared" si="0"/>
        <v>6766343506.2931108</v>
      </c>
      <c r="G40" s="1656"/>
    </row>
    <row r="41" spans="1:7" s="1658" customFormat="1" ht="23" customHeight="1">
      <c r="A41" s="1655">
        <v>37</v>
      </c>
      <c r="B41" s="1656" t="s">
        <v>1331</v>
      </c>
      <c r="C41" s="1656">
        <v>12398993143.200001</v>
      </c>
      <c r="D41" s="1656">
        <v>1980154133.9399996</v>
      </c>
      <c r="E41" s="1656">
        <v>4238455038.8400574</v>
      </c>
      <c r="F41" s="1656">
        <f t="shared" si="0"/>
        <v>18617602315.980057</v>
      </c>
      <c r="G41" s="1656"/>
    </row>
    <row r="42" spans="1:7" s="1658" customFormat="1" ht="23" customHeight="1">
      <c r="A42" s="1655">
        <v>38</v>
      </c>
      <c r="B42" s="1656" t="s">
        <v>1332</v>
      </c>
      <c r="C42" s="1656">
        <v>7537320288</v>
      </c>
      <c r="D42" s="1656">
        <v>1150667551.98</v>
      </c>
      <c r="E42" s="1656">
        <v>2859384047.9980984</v>
      </c>
      <c r="F42" s="1656">
        <f t="shared" si="0"/>
        <v>11547371887.978098</v>
      </c>
      <c r="G42" s="1656"/>
    </row>
    <row r="43" spans="1:7" s="1662" customFormat="1" ht="23" customHeight="1">
      <c r="A43" s="1981" t="s">
        <v>13</v>
      </c>
      <c r="B43" s="1982"/>
      <c r="C43" s="1661">
        <f>SUM(C5:C42)</f>
        <v>117115507932.23999</v>
      </c>
      <c r="D43" s="1661">
        <f>SUM(D5:D42)</f>
        <v>18049967764.190399</v>
      </c>
      <c r="E43" s="1661">
        <f>SUM(E5:E42)</f>
        <v>59258622070.236641</v>
      </c>
      <c r="F43" s="1661">
        <f>SUM(F5:F42)</f>
        <v>194424097766.66705</v>
      </c>
      <c r="G43" s="1661"/>
    </row>
  </sheetData>
  <mergeCells count="4">
    <mergeCell ref="A1:B1"/>
    <mergeCell ref="A2:B2"/>
    <mergeCell ref="A43:B43"/>
    <mergeCell ref="A3:G3"/>
  </mergeCells>
  <pageMargins left="0.68" right="0.35433070866141736" top="0.86" bottom="0.35433070866141736" header="0.56000000000000005" footer="0.27559055118110237"/>
  <pageSetup paperSize="9" scale="68"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62"/>
  <sheetViews>
    <sheetView view="pageBreakPreview" zoomScale="70" zoomScaleNormal="100" zoomScaleSheetLayoutView="70" workbookViewId="0">
      <selection activeCell="J4" sqref="J4"/>
    </sheetView>
  </sheetViews>
  <sheetFormatPr baseColWidth="10" defaultColWidth="9.1640625" defaultRowHeight="16"/>
  <cols>
    <col min="1" max="1" width="4.33203125" style="861" customWidth="1"/>
    <col min="2" max="2" width="44.1640625" style="850" customWidth="1"/>
    <col min="3" max="3" width="14.6640625" style="850" customWidth="1"/>
    <col min="4" max="4" width="9.6640625" style="861" customWidth="1"/>
    <col min="5" max="5" width="7.1640625" style="850" customWidth="1"/>
    <col min="6" max="6" width="11.5" style="850" customWidth="1"/>
    <col min="7" max="7" width="13.6640625" style="850" customWidth="1"/>
    <col min="8" max="8" width="20.1640625" style="850" customWidth="1"/>
    <col min="9" max="9" width="9.33203125" style="850" customWidth="1"/>
    <col min="10" max="10" width="16.5" style="684" customWidth="1"/>
    <col min="11" max="11" width="15.5" style="850" customWidth="1"/>
    <col min="12" max="16384" width="9.1640625" style="850"/>
  </cols>
  <sheetData>
    <row r="1" spans="1:11" ht="14.25" customHeight="1">
      <c r="A1" s="1987" t="s">
        <v>104</v>
      </c>
      <c r="B1" s="1987"/>
      <c r="C1" s="1665"/>
      <c r="D1" s="1665"/>
      <c r="E1" s="677"/>
      <c r="F1" s="1976" t="s">
        <v>1362</v>
      </c>
      <c r="G1" s="1976"/>
      <c r="H1" s="1976"/>
      <c r="I1" s="1976"/>
    </row>
    <row r="2" spans="1:11" ht="14.25" customHeight="1">
      <c r="A2" s="1976" t="s">
        <v>3</v>
      </c>
      <c r="B2" s="1976"/>
      <c r="C2" s="1664"/>
      <c r="D2" s="1664"/>
      <c r="E2" s="33"/>
      <c r="F2" s="1976" t="s">
        <v>956</v>
      </c>
      <c r="G2" s="1976"/>
      <c r="H2" s="1976"/>
      <c r="I2" s="1976"/>
    </row>
    <row r="3" spans="1:11" ht="17.25" customHeight="1">
      <c r="A3" s="851"/>
      <c r="B3" s="852"/>
      <c r="C3" s="852"/>
      <c r="D3" s="851"/>
      <c r="E3" s="852"/>
      <c r="F3" s="852"/>
      <c r="G3" s="852"/>
      <c r="H3" s="852"/>
    </row>
    <row r="4" spans="1:11" ht="23.25" customHeight="1">
      <c r="A4" s="1974" t="s">
        <v>1363</v>
      </c>
      <c r="B4" s="1974"/>
      <c r="C4" s="1974"/>
      <c r="D4" s="1974"/>
      <c r="E4" s="1974"/>
      <c r="F4" s="1974"/>
      <c r="G4" s="1974"/>
      <c r="H4" s="1974"/>
      <c r="I4" s="1974"/>
      <c r="J4" s="1828" t="s">
        <v>1644</v>
      </c>
    </row>
    <row r="5" spans="1:11" ht="20.25" customHeight="1">
      <c r="A5" s="1663"/>
      <c r="B5" s="1663"/>
      <c r="C5" s="1663"/>
      <c r="D5" s="684"/>
      <c r="E5" s="35"/>
      <c r="F5" s="35"/>
      <c r="G5" s="1663"/>
      <c r="H5" s="1663"/>
    </row>
    <row r="6" spans="1:11" ht="15.75" customHeight="1">
      <c r="A6" s="1984" t="s">
        <v>50</v>
      </c>
      <c r="B6" s="1984" t="s">
        <v>1364</v>
      </c>
      <c r="C6" s="1985" t="s">
        <v>1365</v>
      </c>
      <c r="D6" s="1985" t="s">
        <v>368</v>
      </c>
      <c r="E6" s="1986" t="s">
        <v>1</v>
      </c>
      <c r="F6" s="1986" t="s">
        <v>1366</v>
      </c>
      <c r="G6" s="1985" t="s">
        <v>1367</v>
      </c>
      <c r="H6" s="1668" t="s">
        <v>1368</v>
      </c>
      <c r="I6" s="1988" t="s">
        <v>1165</v>
      </c>
      <c r="J6" s="1990" t="s">
        <v>1369</v>
      </c>
    </row>
    <row r="7" spans="1:11" ht="35.25" customHeight="1">
      <c r="A7" s="1984"/>
      <c r="B7" s="1984"/>
      <c r="C7" s="1985"/>
      <c r="D7" s="1985"/>
      <c r="E7" s="1986"/>
      <c r="F7" s="1986"/>
      <c r="G7" s="1985"/>
      <c r="H7" s="1669" t="s">
        <v>1370</v>
      </c>
      <c r="I7" s="1989"/>
      <c r="J7" s="1991"/>
    </row>
    <row r="8" spans="1:11" s="854" customFormat="1" ht="32" customHeight="1">
      <c r="A8" s="1670">
        <v>1</v>
      </c>
      <c r="B8" s="1671" t="s">
        <v>1583</v>
      </c>
      <c r="C8" s="1672" t="s">
        <v>1220</v>
      </c>
      <c r="D8" s="1673"/>
      <c r="E8" s="1674"/>
      <c r="F8" s="1674"/>
      <c r="G8" s="1675"/>
      <c r="H8" s="1675"/>
      <c r="I8" s="1992" t="s">
        <v>1373</v>
      </c>
      <c r="J8" s="1676" t="s">
        <v>1220</v>
      </c>
    </row>
    <row r="9" spans="1:11" s="854" customFormat="1" ht="18" customHeight="1">
      <c r="A9" s="1670">
        <v>2</v>
      </c>
      <c r="B9" s="1671" t="s">
        <v>1374</v>
      </c>
      <c r="C9" s="1672" t="s">
        <v>1375</v>
      </c>
      <c r="D9" s="1677"/>
      <c r="E9" s="1677"/>
      <c r="F9" s="1678"/>
      <c r="G9" s="1679"/>
      <c r="H9" s="1680"/>
      <c r="I9" s="1993"/>
      <c r="J9" s="1676" t="s">
        <v>1220</v>
      </c>
    </row>
    <row r="10" spans="1:11" s="854" customFormat="1" ht="27" customHeight="1">
      <c r="A10" s="1681">
        <v>3</v>
      </c>
      <c r="B10" s="1671" t="s">
        <v>1371</v>
      </c>
      <c r="C10" s="1672" t="s">
        <v>1375</v>
      </c>
      <c r="D10" s="1682"/>
      <c r="E10" s="1682"/>
      <c r="F10" s="1682"/>
      <c r="G10" s="1679"/>
      <c r="H10" s="1683"/>
      <c r="I10" s="1993"/>
      <c r="J10" s="1676" t="s">
        <v>1220</v>
      </c>
    </row>
    <row r="11" spans="1:11" ht="20" customHeight="1">
      <c r="A11" s="1990">
        <v>4</v>
      </c>
      <c r="B11" s="1684" t="s">
        <v>1376</v>
      </c>
      <c r="C11" s="1685"/>
      <c r="D11" s="1686"/>
      <c r="E11" s="1685"/>
      <c r="F11" s="1685"/>
      <c r="G11" s="1687"/>
      <c r="H11" s="1685"/>
      <c r="I11" s="1688"/>
      <c r="J11" s="1672"/>
    </row>
    <row r="12" spans="1:11" ht="26.25" customHeight="1">
      <c r="A12" s="1996"/>
      <c r="B12" s="1689" t="s">
        <v>1377</v>
      </c>
      <c r="C12" s="1690" t="s">
        <v>1378</v>
      </c>
      <c r="D12" s="1691">
        <v>9</v>
      </c>
      <c r="E12" s="1692" t="s">
        <v>1379</v>
      </c>
      <c r="F12" s="1693">
        <v>50000</v>
      </c>
      <c r="G12" s="1694">
        <f t="shared" ref="G12:G22" si="0">D12*F12</f>
        <v>450000</v>
      </c>
      <c r="H12" s="1691" t="s">
        <v>1380</v>
      </c>
      <c r="I12" s="2003" t="s">
        <v>1373</v>
      </c>
      <c r="J12" s="1695" t="s">
        <v>1220</v>
      </c>
      <c r="K12" s="1696"/>
    </row>
    <row r="13" spans="1:11" ht="36" customHeight="1">
      <c r="A13" s="1996"/>
      <c r="B13" s="1697" t="s">
        <v>1381</v>
      </c>
      <c r="C13" s="1698" t="s">
        <v>1378</v>
      </c>
      <c r="D13" s="1691">
        <v>9</v>
      </c>
      <c r="E13" s="1699" t="s">
        <v>1379</v>
      </c>
      <c r="F13" s="1693">
        <v>50000</v>
      </c>
      <c r="G13" s="1700">
        <f t="shared" si="0"/>
        <v>450000</v>
      </c>
      <c r="H13" s="1701" t="s">
        <v>1380</v>
      </c>
      <c r="I13" s="2004"/>
      <c r="J13" s="1695" t="s">
        <v>1220</v>
      </c>
      <c r="K13" s="1696"/>
    </row>
    <row r="14" spans="1:11" ht="25.5" customHeight="1">
      <c r="A14" s="1996"/>
      <c r="B14" s="1697" t="s">
        <v>1382</v>
      </c>
      <c r="C14" s="1698" t="s">
        <v>1383</v>
      </c>
      <c r="D14" s="1691">
        <v>9</v>
      </c>
      <c r="E14" s="1699" t="s">
        <v>1379</v>
      </c>
      <c r="F14" s="1693">
        <v>50000</v>
      </c>
      <c r="G14" s="1700">
        <f t="shared" si="0"/>
        <v>450000</v>
      </c>
      <c r="H14" s="1701" t="s">
        <v>1380</v>
      </c>
      <c r="I14" s="2004"/>
      <c r="J14" s="1695" t="s">
        <v>1220</v>
      </c>
      <c r="K14" s="1696"/>
    </row>
    <row r="15" spans="1:11" ht="29.25" customHeight="1">
      <c r="A15" s="1996"/>
      <c r="B15" s="1697" t="s">
        <v>1384</v>
      </c>
      <c r="C15" s="1698" t="s">
        <v>1383</v>
      </c>
      <c r="D15" s="1691">
        <v>9</v>
      </c>
      <c r="E15" s="1699" t="s">
        <v>1379</v>
      </c>
      <c r="F15" s="1693">
        <v>50000</v>
      </c>
      <c r="G15" s="1700">
        <f t="shared" si="0"/>
        <v>450000</v>
      </c>
      <c r="H15" s="1701" t="s">
        <v>1380</v>
      </c>
      <c r="I15" s="2004"/>
      <c r="J15" s="1695" t="s">
        <v>1220</v>
      </c>
      <c r="K15" s="1696"/>
    </row>
    <row r="16" spans="1:11" ht="30" customHeight="1">
      <c r="A16" s="1996"/>
      <c r="B16" s="1697" t="s">
        <v>1385</v>
      </c>
      <c r="C16" s="1698" t="s">
        <v>1386</v>
      </c>
      <c r="D16" s="1701">
        <v>15</v>
      </c>
      <c r="E16" s="1699" t="s">
        <v>1379</v>
      </c>
      <c r="F16" s="1693">
        <v>50000</v>
      </c>
      <c r="G16" s="1700">
        <f t="shared" si="0"/>
        <v>750000</v>
      </c>
      <c r="H16" s="1701" t="s">
        <v>1380</v>
      </c>
      <c r="I16" s="2004"/>
      <c r="J16" s="1695" t="s">
        <v>1220</v>
      </c>
      <c r="K16" s="1696"/>
    </row>
    <row r="17" spans="1:17" ht="36" customHeight="1">
      <c r="A17" s="1996"/>
      <c r="B17" s="1697" t="s">
        <v>1387</v>
      </c>
      <c r="C17" s="1698" t="s">
        <v>1388</v>
      </c>
      <c r="D17" s="1701">
        <v>21</v>
      </c>
      <c r="E17" s="1699" t="s">
        <v>1379</v>
      </c>
      <c r="F17" s="1693">
        <v>50000</v>
      </c>
      <c r="G17" s="1700">
        <f t="shared" si="0"/>
        <v>1050000</v>
      </c>
      <c r="H17" s="1701" t="s">
        <v>1380</v>
      </c>
      <c r="I17" s="2004"/>
      <c r="J17" s="1695" t="s">
        <v>1220</v>
      </c>
      <c r="K17" s="1696"/>
    </row>
    <row r="18" spans="1:17" ht="30" customHeight="1">
      <c r="A18" s="1996"/>
      <c r="B18" s="1697" t="s">
        <v>1389</v>
      </c>
      <c r="C18" s="1698" t="s">
        <v>1388</v>
      </c>
      <c r="D18" s="1701">
        <v>15</v>
      </c>
      <c r="E18" s="1699" t="s">
        <v>1379</v>
      </c>
      <c r="F18" s="1693">
        <v>50000</v>
      </c>
      <c r="G18" s="1700">
        <f t="shared" si="0"/>
        <v>750000</v>
      </c>
      <c r="H18" s="1701" t="s">
        <v>1380</v>
      </c>
      <c r="I18" s="2004"/>
      <c r="J18" s="1695" t="s">
        <v>1220</v>
      </c>
      <c r="K18" s="1696"/>
    </row>
    <row r="19" spans="1:17" ht="20" customHeight="1">
      <c r="A19" s="1996"/>
      <c r="B19" s="1697" t="s">
        <v>1390</v>
      </c>
      <c r="C19" s="1698" t="s">
        <v>1386</v>
      </c>
      <c r="D19" s="1701">
        <v>15</v>
      </c>
      <c r="E19" s="1699" t="s">
        <v>1379</v>
      </c>
      <c r="F19" s="1693">
        <v>50000</v>
      </c>
      <c r="G19" s="1700">
        <f t="shared" si="0"/>
        <v>750000</v>
      </c>
      <c r="H19" s="1701" t="s">
        <v>1380</v>
      </c>
      <c r="I19" s="2004"/>
      <c r="J19" s="1695" t="s">
        <v>1220</v>
      </c>
      <c r="K19" s="1696"/>
    </row>
    <row r="20" spans="1:17" ht="29.25" customHeight="1">
      <c r="A20" s="1996"/>
      <c r="B20" s="1697" t="s">
        <v>1391</v>
      </c>
      <c r="C20" s="1698" t="s">
        <v>1392</v>
      </c>
      <c r="D20" s="1701">
        <v>15</v>
      </c>
      <c r="E20" s="1699" t="s">
        <v>1379</v>
      </c>
      <c r="F20" s="1693">
        <v>50000</v>
      </c>
      <c r="G20" s="1700">
        <f t="shared" si="0"/>
        <v>750000</v>
      </c>
      <c r="H20" s="1701" t="s">
        <v>1380</v>
      </c>
      <c r="I20" s="2004"/>
      <c r="J20" s="1695" t="s">
        <v>1220</v>
      </c>
      <c r="K20" s="1696"/>
    </row>
    <row r="21" spans="1:17" ht="28.5" customHeight="1">
      <c r="A21" s="1996"/>
      <c r="B21" s="1702" t="s">
        <v>1393</v>
      </c>
      <c r="C21" s="1703" t="s">
        <v>1394</v>
      </c>
      <c r="D21" s="1701">
        <v>18</v>
      </c>
      <c r="E21" s="1704" t="s">
        <v>1379</v>
      </c>
      <c r="F21" s="1693">
        <v>50000</v>
      </c>
      <c r="G21" s="1705">
        <f t="shared" si="0"/>
        <v>900000</v>
      </c>
      <c r="H21" s="1706" t="s">
        <v>1380</v>
      </c>
      <c r="I21" s="2004"/>
      <c r="J21" s="1695" t="s">
        <v>1220</v>
      </c>
      <c r="K21" s="1696"/>
    </row>
    <row r="22" spans="1:17" ht="68.25" customHeight="1">
      <c r="A22" s="1991"/>
      <c r="B22" s="1702" t="s">
        <v>1395</v>
      </c>
      <c r="C22" s="1703" t="s">
        <v>1394</v>
      </c>
      <c r="D22" s="1701">
        <v>15</v>
      </c>
      <c r="E22" s="1704" t="s">
        <v>1379</v>
      </c>
      <c r="F22" s="1693">
        <v>50000</v>
      </c>
      <c r="G22" s="1705">
        <f t="shared" si="0"/>
        <v>750000</v>
      </c>
      <c r="H22" s="1706" t="s">
        <v>1380</v>
      </c>
      <c r="I22" s="2005"/>
      <c r="J22" s="1695"/>
      <c r="K22" s="1707"/>
      <c r="L22" s="1994"/>
      <c r="M22" s="1995"/>
      <c r="N22" s="1995"/>
      <c r="O22" s="1995"/>
      <c r="P22" s="1995"/>
      <c r="Q22" s="1995"/>
    </row>
    <row r="23" spans="1:17" ht="20" customHeight="1">
      <c r="A23" s="1990">
        <v>5</v>
      </c>
      <c r="B23" s="1708" t="s">
        <v>1396</v>
      </c>
      <c r="C23" s="1709"/>
      <c r="D23" s="1710"/>
      <c r="E23" s="1709"/>
      <c r="F23" s="1709"/>
      <c r="G23" s="1711"/>
      <c r="H23" s="1709"/>
      <c r="I23" s="1712"/>
      <c r="J23" s="1672"/>
    </row>
    <row r="24" spans="1:17" ht="30.75" customHeight="1">
      <c r="A24" s="1996"/>
      <c r="B24" s="1713" t="s">
        <v>1397</v>
      </c>
      <c r="C24" s="1714" t="s">
        <v>1378</v>
      </c>
      <c r="D24" s="1715">
        <v>6</v>
      </c>
      <c r="E24" s="1716" t="s">
        <v>1379</v>
      </c>
      <c r="F24" s="1717">
        <v>50000</v>
      </c>
      <c r="G24" s="1718">
        <f t="shared" ref="G24:G38" si="1">D24*F24</f>
        <v>300000</v>
      </c>
      <c r="H24" s="1715" t="s">
        <v>1380</v>
      </c>
      <c r="I24" s="1997" t="s">
        <v>1373</v>
      </c>
      <c r="J24" s="1672" t="s">
        <v>1220</v>
      </c>
    </row>
    <row r="25" spans="1:17" ht="26.25" customHeight="1">
      <c r="A25" s="1996"/>
      <c r="B25" s="1719" t="s">
        <v>1398</v>
      </c>
      <c r="C25" s="1720" t="s">
        <v>1378</v>
      </c>
      <c r="D25" s="1715">
        <v>6</v>
      </c>
      <c r="E25" s="976" t="s">
        <v>1379</v>
      </c>
      <c r="F25" s="1717">
        <v>50000</v>
      </c>
      <c r="G25" s="1721">
        <f t="shared" si="1"/>
        <v>300000</v>
      </c>
      <c r="H25" s="977" t="s">
        <v>1380</v>
      </c>
      <c r="I25" s="1998"/>
      <c r="J25" s="1672" t="s">
        <v>1220</v>
      </c>
    </row>
    <row r="26" spans="1:17" ht="27.75" customHeight="1">
      <c r="A26" s="1996"/>
      <c r="B26" s="1719" t="s">
        <v>1399</v>
      </c>
      <c r="C26" s="1720" t="s">
        <v>1383</v>
      </c>
      <c r="D26" s="1715">
        <v>6</v>
      </c>
      <c r="E26" s="976" t="s">
        <v>1379</v>
      </c>
      <c r="F26" s="1717">
        <v>50000</v>
      </c>
      <c r="G26" s="1721">
        <f t="shared" si="1"/>
        <v>300000</v>
      </c>
      <c r="H26" s="977" t="s">
        <v>1380</v>
      </c>
      <c r="I26" s="1998"/>
      <c r="J26" s="1672" t="s">
        <v>1220</v>
      </c>
    </row>
    <row r="27" spans="1:17" ht="27" customHeight="1">
      <c r="A27" s="1996"/>
      <c r="B27" s="1719" t="s">
        <v>1400</v>
      </c>
      <c r="C27" s="1720" t="s">
        <v>1383</v>
      </c>
      <c r="D27" s="1715">
        <v>6</v>
      </c>
      <c r="E27" s="976" t="s">
        <v>1379</v>
      </c>
      <c r="F27" s="1717">
        <v>50000</v>
      </c>
      <c r="G27" s="1721">
        <f t="shared" si="1"/>
        <v>300000</v>
      </c>
      <c r="H27" s="977" t="s">
        <v>1380</v>
      </c>
      <c r="I27" s="1998"/>
      <c r="J27" s="1672" t="s">
        <v>1220</v>
      </c>
    </row>
    <row r="28" spans="1:17" ht="27.75" customHeight="1">
      <c r="A28" s="1996"/>
      <c r="B28" s="1719" t="s">
        <v>1401</v>
      </c>
      <c r="C28" s="1720" t="s">
        <v>1386</v>
      </c>
      <c r="D28" s="1715">
        <v>10</v>
      </c>
      <c r="E28" s="976" t="s">
        <v>1379</v>
      </c>
      <c r="F28" s="1717">
        <v>50000</v>
      </c>
      <c r="G28" s="1721">
        <f t="shared" si="1"/>
        <v>500000</v>
      </c>
      <c r="H28" s="977" t="s">
        <v>1380</v>
      </c>
      <c r="I28" s="1998"/>
      <c r="J28" s="1672" t="s">
        <v>1220</v>
      </c>
    </row>
    <row r="29" spans="1:17" ht="30" customHeight="1">
      <c r="A29" s="1996"/>
      <c r="B29" s="1719" t="s">
        <v>1402</v>
      </c>
      <c r="C29" s="1720" t="s">
        <v>1388</v>
      </c>
      <c r="D29" s="1715">
        <v>14</v>
      </c>
      <c r="E29" s="976" t="s">
        <v>1379</v>
      </c>
      <c r="F29" s="1717">
        <v>50000</v>
      </c>
      <c r="G29" s="1721">
        <f t="shared" si="1"/>
        <v>700000</v>
      </c>
      <c r="H29" s="977" t="s">
        <v>1380</v>
      </c>
      <c r="I29" s="1998"/>
      <c r="J29" s="1672" t="s">
        <v>1220</v>
      </c>
    </row>
    <row r="30" spans="1:17" ht="28.5" customHeight="1">
      <c r="A30" s="1996"/>
      <c r="B30" s="1719" t="s">
        <v>1403</v>
      </c>
      <c r="C30" s="1720" t="s">
        <v>1388</v>
      </c>
      <c r="D30" s="1715">
        <v>10</v>
      </c>
      <c r="E30" s="976" t="s">
        <v>1379</v>
      </c>
      <c r="F30" s="1717">
        <v>50000</v>
      </c>
      <c r="G30" s="1721">
        <f t="shared" si="1"/>
        <v>500000</v>
      </c>
      <c r="H30" s="977" t="s">
        <v>1380</v>
      </c>
      <c r="I30" s="1998"/>
      <c r="J30" s="1672" t="s">
        <v>1220</v>
      </c>
    </row>
    <row r="31" spans="1:17" ht="33" customHeight="1">
      <c r="A31" s="1996"/>
      <c r="B31" s="1719" t="s">
        <v>1404</v>
      </c>
      <c r="C31" s="1720" t="s">
        <v>1386</v>
      </c>
      <c r="D31" s="1715">
        <v>10</v>
      </c>
      <c r="E31" s="976" t="s">
        <v>1379</v>
      </c>
      <c r="F31" s="1717">
        <v>50000</v>
      </c>
      <c r="G31" s="1721">
        <f t="shared" si="1"/>
        <v>500000</v>
      </c>
      <c r="H31" s="977" t="s">
        <v>1380</v>
      </c>
      <c r="I31" s="1998"/>
      <c r="J31" s="1672" t="s">
        <v>1220</v>
      </c>
    </row>
    <row r="32" spans="1:17" ht="21" customHeight="1">
      <c r="A32" s="1996"/>
      <c r="B32" s="1719" t="s">
        <v>1405</v>
      </c>
      <c r="C32" s="1720" t="s">
        <v>1392</v>
      </c>
      <c r="D32" s="1715">
        <v>10</v>
      </c>
      <c r="E32" s="976" t="s">
        <v>1379</v>
      </c>
      <c r="F32" s="1717">
        <v>50000</v>
      </c>
      <c r="G32" s="1721">
        <f t="shared" si="1"/>
        <v>500000</v>
      </c>
      <c r="H32" s="977" t="s">
        <v>1380</v>
      </c>
      <c r="I32" s="1998"/>
      <c r="J32" s="1672" t="s">
        <v>1220</v>
      </c>
    </row>
    <row r="33" spans="1:13" ht="32.25" customHeight="1">
      <c r="A33" s="1996"/>
      <c r="B33" s="1722" t="s">
        <v>1406</v>
      </c>
      <c r="C33" s="1723" t="s">
        <v>1394</v>
      </c>
      <c r="D33" s="1715">
        <v>12</v>
      </c>
      <c r="E33" s="1724" t="s">
        <v>1379</v>
      </c>
      <c r="F33" s="1717">
        <v>50000</v>
      </c>
      <c r="G33" s="1725">
        <f t="shared" si="1"/>
        <v>600000</v>
      </c>
      <c r="H33" s="1726" t="s">
        <v>1380</v>
      </c>
      <c r="I33" s="1998"/>
      <c r="J33" s="1672" t="s">
        <v>1220</v>
      </c>
    </row>
    <row r="34" spans="1:13" ht="30.75" customHeight="1">
      <c r="A34" s="1991"/>
      <c r="B34" s="1722" t="s">
        <v>1407</v>
      </c>
      <c r="C34" s="1723" t="s">
        <v>1394</v>
      </c>
      <c r="D34" s="1715">
        <v>10</v>
      </c>
      <c r="E34" s="1724" t="s">
        <v>1379</v>
      </c>
      <c r="F34" s="1717">
        <v>50000</v>
      </c>
      <c r="G34" s="1725">
        <f t="shared" si="1"/>
        <v>500000</v>
      </c>
      <c r="H34" s="1726" t="s">
        <v>1380</v>
      </c>
      <c r="I34" s="1999"/>
      <c r="J34" s="1672" t="s">
        <v>1220</v>
      </c>
      <c r="K34" s="856"/>
    </row>
    <row r="35" spans="1:13" ht="30.75" customHeight="1">
      <c r="A35" s="1727">
        <v>6</v>
      </c>
      <c r="B35" s="1674" t="s">
        <v>1408</v>
      </c>
      <c r="C35" s="1680" t="s">
        <v>1252</v>
      </c>
      <c r="D35" s="1727">
        <v>20</v>
      </c>
      <c r="E35" s="1728" t="s">
        <v>1379</v>
      </c>
      <c r="F35" s="1683">
        <v>50000</v>
      </c>
      <c r="G35" s="1729">
        <f t="shared" si="1"/>
        <v>1000000</v>
      </c>
      <c r="H35" s="1727" t="s">
        <v>1380</v>
      </c>
      <c r="I35" s="1997" t="s">
        <v>1373</v>
      </c>
      <c r="J35" s="1672" t="s">
        <v>1220</v>
      </c>
    </row>
    <row r="36" spans="1:13" ht="40.5" customHeight="1">
      <c r="A36" s="1727">
        <v>7</v>
      </c>
      <c r="B36" s="1674" t="s">
        <v>1409</v>
      </c>
      <c r="C36" s="1680" t="s">
        <v>1252</v>
      </c>
      <c r="D36" s="1727">
        <v>30</v>
      </c>
      <c r="E36" s="1728" t="s">
        <v>1379</v>
      </c>
      <c r="F36" s="1683">
        <v>50000</v>
      </c>
      <c r="G36" s="1729">
        <f t="shared" si="1"/>
        <v>1500000</v>
      </c>
      <c r="H36" s="1727" t="s">
        <v>1380</v>
      </c>
      <c r="I36" s="1998"/>
      <c r="J36" s="1672" t="s">
        <v>1220</v>
      </c>
    </row>
    <row r="37" spans="1:13" ht="38.25" customHeight="1">
      <c r="A37" s="1727">
        <v>8</v>
      </c>
      <c r="B37" s="1674" t="s">
        <v>1410</v>
      </c>
      <c r="C37" s="1680" t="s">
        <v>1372</v>
      </c>
      <c r="D37" s="1727">
        <v>50</v>
      </c>
      <c r="E37" s="1728" t="s">
        <v>1379</v>
      </c>
      <c r="F37" s="1683">
        <v>50000</v>
      </c>
      <c r="G37" s="1729">
        <f t="shared" si="1"/>
        <v>2500000</v>
      </c>
      <c r="H37" s="1727" t="s">
        <v>1380</v>
      </c>
      <c r="I37" s="1998"/>
      <c r="J37" s="1672" t="s">
        <v>1220</v>
      </c>
    </row>
    <row r="38" spans="1:13" ht="31.5" customHeight="1">
      <c r="A38" s="1727">
        <v>9</v>
      </c>
      <c r="B38" s="1674" t="s">
        <v>1411</v>
      </c>
      <c r="C38" s="1680" t="s">
        <v>1412</v>
      </c>
      <c r="D38" s="1727">
        <v>50</v>
      </c>
      <c r="E38" s="1728" t="s">
        <v>1413</v>
      </c>
      <c r="F38" s="1683">
        <v>200000</v>
      </c>
      <c r="G38" s="1729">
        <f t="shared" si="1"/>
        <v>10000000</v>
      </c>
      <c r="H38" s="1727" t="s">
        <v>1380</v>
      </c>
      <c r="I38" s="1999"/>
      <c r="J38" s="1672" t="s">
        <v>1220</v>
      </c>
    </row>
    <row r="39" spans="1:13" ht="20" customHeight="1">
      <c r="A39" s="2000">
        <v>10</v>
      </c>
      <c r="B39" s="1708" t="s">
        <v>1414</v>
      </c>
      <c r="C39" s="1709"/>
      <c r="D39" s="1710"/>
      <c r="E39" s="1709"/>
      <c r="F39" s="1709"/>
      <c r="G39" s="1711"/>
      <c r="H39" s="1709"/>
      <c r="I39" s="1712"/>
      <c r="J39" s="1672"/>
    </row>
    <row r="40" spans="1:13" ht="29.25" customHeight="1">
      <c r="A40" s="2001"/>
      <c r="B40" s="1713" t="s">
        <v>1415</v>
      </c>
      <c r="C40" s="1714" t="s">
        <v>1378</v>
      </c>
      <c r="D40" s="1715">
        <v>15</v>
      </c>
      <c r="E40" s="1716" t="s">
        <v>1379</v>
      </c>
      <c r="F40" s="1717">
        <v>50000</v>
      </c>
      <c r="G40" s="1718">
        <f t="shared" ref="G40:G52" si="2">D40*F40</f>
        <v>750000</v>
      </c>
      <c r="H40" s="1715" t="s">
        <v>1380</v>
      </c>
      <c r="I40" s="1997" t="s">
        <v>1373</v>
      </c>
      <c r="J40" s="1672" t="s">
        <v>1220</v>
      </c>
    </row>
    <row r="41" spans="1:13" ht="24" customHeight="1">
      <c r="A41" s="2001"/>
      <c r="B41" s="1719" t="s">
        <v>1416</v>
      </c>
      <c r="C41" s="1720" t="s">
        <v>1378</v>
      </c>
      <c r="D41" s="1715">
        <v>15</v>
      </c>
      <c r="E41" s="976" t="s">
        <v>1379</v>
      </c>
      <c r="F41" s="1717">
        <v>50000</v>
      </c>
      <c r="G41" s="1721">
        <f t="shared" si="2"/>
        <v>750000</v>
      </c>
      <c r="H41" s="977" t="s">
        <v>1380</v>
      </c>
      <c r="I41" s="1998"/>
      <c r="J41" s="1672" t="s">
        <v>1220</v>
      </c>
    </row>
    <row r="42" spans="1:13" ht="25.5" customHeight="1">
      <c r="A42" s="2001"/>
      <c r="B42" s="1719" t="s">
        <v>1417</v>
      </c>
      <c r="C42" s="1720" t="s">
        <v>1383</v>
      </c>
      <c r="D42" s="1715">
        <v>15</v>
      </c>
      <c r="E42" s="976" t="s">
        <v>1379</v>
      </c>
      <c r="F42" s="1717">
        <v>50000</v>
      </c>
      <c r="G42" s="1721">
        <f t="shared" si="2"/>
        <v>750000</v>
      </c>
      <c r="H42" s="977" t="s">
        <v>1380</v>
      </c>
      <c r="I42" s="1998"/>
      <c r="J42" s="1672" t="s">
        <v>1220</v>
      </c>
    </row>
    <row r="43" spans="1:13" ht="30.75" customHeight="1">
      <c r="A43" s="2001"/>
      <c r="B43" s="1719" t="s">
        <v>1418</v>
      </c>
      <c r="C43" s="1720" t="s">
        <v>1383</v>
      </c>
      <c r="D43" s="1715">
        <v>15</v>
      </c>
      <c r="E43" s="976" t="s">
        <v>1379</v>
      </c>
      <c r="F43" s="1717">
        <v>50000</v>
      </c>
      <c r="G43" s="1721">
        <f t="shared" si="2"/>
        <v>750000</v>
      </c>
      <c r="H43" s="977" t="s">
        <v>1380</v>
      </c>
      <c r="I43" s="1998"/>
      <c r="J43" s="1672" t="s">
        <v>1220</v>
      </c>
    </row>
    <row r="44" spans="1:13" ht="25.5" customHeight="1">
      <c r="A44" s="2001"/>
      <c r="B44" s="1719" t="s">
        <v>1419</v>
      </c>
      <c r="C44" s="1720" t="s">
        <v>1386</v>
      </c>
      <c r="D44" s="1715">
        <v>25</v>
      </c>
      <c r="E44" s="976" t="s">
        <v>1379</v>
      </c>
      <c r="F44" s="1717">
        <v>50000</v>
      </c>
      <c r="G44" s="1721">
        <f t="shared" si="2"/>
        <v>1250000</v>
      </c>
      <c r="H44" s="977" t="s">
        <v>1380</v>
      </c>
      <c r="I44" s="1998"/>
      <c r="J44" s="1672" t="s">
        <v>1220</v>
      </c>
    </row>
    <row r="45" spans="1:13" ht="20.25" customHeight="1">
      <c r="A45" s="2001"/>
      <c r="B45" s="1719" t="s">
        <v>1420</v>
      </c>
      <c r="C45" s="1720" t="s">
        <v>1388</v>
      </c>
      <c r="D45" s="1715">
        <v>35</v>
      </c>
      <c r="E45" s="976" t="s">
        <v>1379</v>
      </c>
      <c r="F45" s="1717">
        <v>50000</v>
      </c>
      <c r="G45" s="1721">
        <f t="shared" si="2"/>
        <v>1750000</v>
      </c>
      <c r="H45" s="977" t="s">
        <v>1380</v>
      </c>
      <c r="I45" s="1998"/>
      <c r="J45" s="1672" t="s">
        <v>1220</v>
      </c>
    </row>
    <row r="46" spans="1:13" ht="27.75" customHeight="1">
      <c r="A46" s="2001"/>
      <c r="B46" s="1719" t="s">
        <v>1421</v>
      </c>
      <c r="C46" s="1720" t="s">
        <v>1388</v>
      </c>
      <c r="D46" s="1715">
        <v>25</v>
      </c>
      <c r="E46" s="976" t="s">
        <v>1379</v>
      </c>
      <c r="F46" s="1717">
        <v>50000</v>
      </c>
      <c r="G46" s="1721">
        <f t="shared" si="2"/>
        <v>1250000</v>
      </c>
      <c r="H46" s="977" t="s">
        <v>1380</v>
      </c>
      <c r="I46" s="1998"/>
      <c r="J46" s="1672" t="s">
        <v>1220</v>
      </c>
    </row>
    <row r="47" spans="1:13" ht="21" customHeight="1">
      <c r="A47" s="2001"/>
      <c r="B47" s="1719" t="s">
        <v>1422</v>
      </c>
      <c r="C47" s="1720" t="s">
        <v>1386</v>
      </c>
      <c r="D47" s="1715">
        <v>25</v>
      </c>
      <c r="E47" s="976" t="s">
        <v>1379</v>
      </c>
      <c r="F47" s="1717">
        <v>50000</v>
      </c>
      <c r="G47" s="1721">
        <f t="shared" si="2"/>
        <v>1250000</v>
      </c>
      <c r="H47" s="977" t="s">
        <v>1380</v>
      </c>
      <c r="I47" s="1998"/>
      <c r="J47" s="1672" t="s">
        <v>1220</v>
      </c>
      <c r="M47" s="850" t="s">
        <v>366</v>
      </c>
    </row>
    <row r="48" spans="1:13" ht="31.5" customHeight="1">
      <c r="A48" s="2001"/>
      <c r="B48" s="1719" t="s">
        <v>1423</v>
      </c>
      <c r="C48" s="1720" t="s">
        <v>1392</v>
      </c>
      <c r="D48" s="1715">
        <v>25</v>
      </c>
      <c r="E48" s="976" t="s">
        <v>1379</v>
      </c>
      <c r="F48" s="1717">
        <v>50000</v>
      </c>
      <c r="G48" s="1721">
        <f t="shared" si="2"/>
        <v>1250000</v>
      </c>
      <c r="H48" s="977" t="s">
        <v>1380</v>
      </c>
      <c r="I48" s="1998"/>
      <c r="J48" s="1672" t="s">
        <v>1220</v>
      </c>
    </row>
    <row r="49" spans="1:11" ht="23.25" customHeight="1">
      <c r="A49" s="2001"/>
      <c r="B49" s="1722" t="s">
        <v>1424</v>
      </c>
      <c r="C49" s="1723" t="s">
        <v>1394</v>
      </c>
      <c r="D49" s="1715">
        <v>30</v>
      </c>
      <c r="E49" s="976" t="s">
        <v>1379</v>
      </c>
      <c r="F49" s="1717">
        <v>50000</v>
      </c>
      <c r="G49" s="1721">
        <f t="shared" si="2"/>
        <v>1500000</v>
      </c>
      <c r="H49" s="977" t="s">
        <v>1380</v>
      </c>
      <c r="I49" s="1998"/>
      <c r="J49" s="1672" t="s">
        <v>1220</v>
      </c>
    </row>
    <row r="50" spans="1:11" ht="21.75" customHeight="1">
      <c r="A50" s="2002"/>
      <c r="B50" s="1722" t="s">
        <v>1425</v>
      </c>
      <c r="C50" s="1723" t="s">
        <v>1394</v>
      </c>
      <c r="D50" s="1715">
        <v>25</v>
      </c>
      <c r="E50" s="1724" t="s">
        <v>1379</v>
      </c>
      <c r="F50" s="1717">
        <v>50000</v>
      </c>
      <c r="G50" s="1725">
        <f t="shared" si="2"/>
        <v>1250000</v>
      </c>
      <c r="H50" s="1726" t="s">
        <v>1380</v>
      </c>
      <c r="I50" s="1999"/>
      <c r="J50" s="1672" t="s">
        <v>1220</v>
      </c>
      <c r="K50" s="856"/>
    </row>
    <row r="51" spans="1:11" ht="51" customHeight="1">
      <c r="A51" s="1727">
        <v>11</v>
      </c>
      <c r="B51" s="1674" t="s">
        <v>1426</v>
      </c>
      <c r="C51" s="1727" t="s">
        <v>1427</v>
      </c>
      <c r="D51" s="1727">
        <v>140</v>
      </c>
      <c r="E51" s="1728" t="s">
        <v>1379</v>
      </c>
      <c r="F51" s="1683">
        <v>50000</v>
      </c>
      <c r="G51" s="1729">
        <f t="shared" si="2"/>
        <v>7000000</v>
      </c>
      <c r="H51" s="1727" t="s">
        <v>1111</v>
      </c>
      <c r="I51" s="2006" t="s">
        <v>1373</v>
      </c>
      <c r="J51" s="1672" t="s">
        <v>1220</v>
      </c>
    </row>
    <row r="52" spans="1:11" ht="39" customHeight="1">
      <c r="A52" s="1727">
        <v>13</v>
      </c>
      <c r="B52" s="1674" t="s">
        <v>1428</v>
      </c>
      <c r="C52" s="1727" t="s">
        <v>1372</v>
      </c>
      <c r="D52" s="1730">
        <v>50000</v>
      </c>
      <c r="E52" s="1728" t="s">
        <v>1429</v>
      </c>
      <c r="F52" s="1683">
        <v>250</v>
      </c>
      <c r="G52" s="1729">
        <f t="shared" si="2"/>
        <v>12500000</v>
      </c>
      <c r="H52" s="1727" t="s">
        <v>1430</v>
      </c>
      <c r="I52" s="2007"/>
      <c r="J52" s="1672" t="s">
        <v>1220</v>
      </c>
    </row>
    <row r="53" spans="1:11" ht="76.5" customHeight="1">
      <c r="A53" s="1666">
        <v>14</v>
      </c>
      <c r="B53" s="1731" t="s">
        <v>1431</v>
      </c>
      <c r="C53" s="1714" t="s">
        <v>1375</v>
      </c>
      <c r="D53" s="1715"/>
      <c r="E53" s="1716"/>
      <c r="F53" s="1717"/>
      <c r="G53" s="1718"/>
      <c r="H53" s="1715"/>
      <c r="I53" s="1680" t="s">
        <v>1432</v>
      </c>
      <c r="J53" s="1672" t="s">
        <v>1220</v>
      </c>
    </row>
    <row r="54" spans="1:11" ht="24" customHeight="1">
      <c r="A54" s="684"/>
      <c r="B54" s="33" t="s">
        <v>1433</v>
      </c>
      <c r="C54" s="684"/>
      <c r="D54" s="684"/>
      <c r="E54" s="35"/>
      <c r="F54" s="858"/>
      <c r="G54" s="859">
        <f>SUBTOTAL(9,G12:G52)</f>
        <v>59500000</v>
      </c>
      <c r="H54" s="860"/>
      <c r="I54" s="1665"/>
    </row>
    <row r="55" spans="1:11">
      <c r="B55" s="33"/>
      <c r="C55" s="33"/>
      <c r="D55" s="689" t="s">
        <v>1434</v>
      </c>
      <c r="E55" s="689"/>
      <c r="F55" s="689"/>
      <c r="G55" s="689"/>
      <c r="H55" s="689"/>
    </row>
    <row r="56" spans="1:11" ht="13.5" customHeight="1">
      <c r="B56" s="33"/>
      <c r="C56" s="33"/>
      <c r="D56" s="862"/>
      <c r="E56" s="689"/>
      <c r="F56" s="2008" t="s">
        <v>952</v>
      </c>
      <c r="G56" s="2008"/>
      <c r="H56" s="2008"/>
      <c r="I56" s="2008"/>
    </row>
    <row r="57" spans="1:11">
      <c r="A57" s="1976" t="s">
        <v>1435</v>
      </c>
      <c r="B57" s="1976"/>
      <c r="C57" s="1976" t="s">
        <v>1436</v>
      </c>
      <c r="D57" s="1976"/>
      <c r="E57" s="33"/>
      <c r="F57" s="1976" t="s">
        <v>1437</v>
      </c>
      <c r="G57" s="1976"/>
      <c r="H57" s="1976" t="s">
        <v>1438</v>
      </c>
      <c r="I57" s="1976"/>
    </row>
    <row r="58" spans="1:11">
      <c r="A58" s="33"/>
      <c r="B58" s="33"/>
      <c r="C58" s="33"/>
      <c r="D58" s="1664"/>
      <c r="E58" s="33"/>
      <c r="F58" s="33"/>
      <c r="G58" s="33"/>
      <c r="H58" s="33"/>
      <c r="I58" s="35"/>
    </row>
    <row r="59" spans="1:11">
      <c r="A59" s="33"/>
      <c r="B59" s="33"/>
      <c r="C59" s="33"/>
      <c r="D59" s="1664"/>
      <c r="E59" s="33"/>
      <c r="F59" s="33"/>
      <c r="G59" s="33"/>
      <c r="H59" s="33"/>
      <c r="I59" s="35"/>
    </row>
    <row r="60" spans="1:11">
      <c r="A60" s="33"/>
      <c r="B60" s="33"/>
      <c r="C60" s="33"/>
      <c r="D60" s="1664"/>
      <c r="E60" s="33"/>
      <c r="F60" s="33"/>
      <c r="G60" s="33"/>
      <c r="H60" s="33"/>
      <c r="I60" s="35"/>
    </row>
    <row r="61" spans="1:11">
      <c r="A61" s="33"/>
      <c r="B61" s="33"/>
      <c r="C61" s="33"/>
      <c r="D61" s="1664"/>
      <c r="E61" s="33"/>
      <c r="F61" s="33"/>
      <c r="G61" s="33"/>
      <c r="H61" s="33"/>
      <c r="I61" s="35"/>
    </row>
    <row r="62" spans="1:11">
      <c r="A62" s="33"/>
      <c r="B62" s="33"/>
      <c r="C62" s="33"/>
      <c r="D62" s="1664"/>
      <c r="E62" s="33"/>
      <c r="F62" s="33"/>
      <c r="G62" s="33"/>
      <c r="H62" s="33"/>
      <c r="I62" s="35"/>
    </row>
  </sheetData>
  <mergeCells count="29">
    <mergeCell ref="I51:I52"/>
    <mergeCell ref="F56:I56"/>
    <mergeCell ref="A57:B57"/>
    <mergeCell ref="C57:D57"/>
    <mergeCell ref="F57:G57"/>
    <mergeCell ref="H57:I57"/>
    <mergeCell ref="L22:Q22"/>
    <mergeCell ref="A23:A34"/>
    <mergeCell ref="I24:I34"/>
    <mergeCell ref="I35:I38"/>
    <mergeCell ref="A39:A50"/>
    <mergeCell ref="I40:I50"/>
    <mergeCell ref="A11:A22"/>
    <mergeCell ref="I12:I22"/>
    <mergeCell ref="F6:F7"/>
    <mergeCell ref="G6:G7"/>
    <mergeCell ref="I6:I7"/>
    <mergeCell ref="J6:J7"/>
    <mergeCell ref="I8:I10"/>
    <mergeCell ref="A1:B1"/>
    <mergeCell ref="F1:I1"/>
    <mergeCell ref="A2:B2"/>
    <mergeCell ref="F2:I2"/>
    <mergeCell ref="A4:I4"/>
    <mergeCell ref="A6:A7"/>
    <mergeCell ref="B6:B7"/>
    <mergeCell ref="C6:C7"/>
    <mergeCell ref="D6:D7"/>
    <mergeCell ref="E6:E7"/>
  </mergeCells>
  <pageMargins left="0.61" right="0.56999999999999995" top="0.75" bottom="0.75" header="0.3" footer="0.3"/>
  <pageSetup paperSize="9" scale="7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56"/>
  <sheetViews>
    <sheetView view="pageBreakPreview" zoomScaleNormal="100" zoomScaleSheetLayoutView="100" workbookViewId="0">
      <selection activeCell="A4" sqref="A4:H4"/>
    </sheetView>
  </sheetViews>
  <sheetFormatPr baseColWidth="10" defaultColWidth="9.1640625" defaultRowHeight="16"/>
  <cols>
    <col min="1" max="1" width="5.1640625" style="980" customWidth="1"/>
    <col min="2" max="2" width="27.1640625" style="981" customWidth="1"/>
    <col min="3" max="3" width="10.5" style="628" customWidth="1"/>
    <col min="4" max="4" width="8.33203125" style="980" customWidth="1"/>
    <col min="5" max="5" width="9.83203125" style="1015" customWidth="1"/>
    <col min="6" max="6" width="14.5" style="1016" customWidth="1"/>
    <col min="7" max="7" width="16.1640625" style="599" customWidth="1"/>
    <col min="8" max="8" width="21.5" style="944" customWidth="1"/>
    <col min="9" max="16384" width="9.1640625" style="669"/>
  </cols>
  <sheetData>
    <row r="1" spans="1:8" ht="14">
      <c r="A1" s="2011" t="s">
        <v>134</v>
      </c>
      <c r="B1" s="2011"/>
      <c r="C1" s="2012" t="s">
        <v>955</v>
      </c>
      <c r="D1" s="2012"/>
      <c r="E1" s="2012"/>
      <c r="F1" s="2012"/>
      <c r="G1" s="2012"/>
    </row>
    <row r="2" spans="1:8" ht="14">
      <c r="B2" s="981" t="s">
        <v>1009</v>
      </c>
      <c r="C2" s="2012" t="s">
        <v>956</v>
      </c>
      <c r="D2" s="2012"/>
      <c r="E2" s="2012"/>
      <c r="F2" s="2012"/>
      <c r="G2" s="2012"/>
    </row>
    <row r="3" spans="1:8">
      <c r="H3" s="1828" t="s">
        <v>1657</v>
      </c>
    </row>
    <row r="4" spans="1:8" ht="14">
      <c r="A4" s="1952" t="s">
        <v>1520</v>
      </c>
      <c r="B4" s="1952"/>
      <c r="C4" s="1952"/>
      <c r="D4" s="1952"/>
      <c r="E4" s="1952"/>
      <c r="F4" s="1952"/>
      <c r="G4" s="1952"/>
      <c r="H4" s="1952"/>
    </row>
    <row r="5" spans="1:8" ht="14">
      <c r="A5" s="1952" t="s">
        <v>1009</v>
      </c>
      <c r="B5" s="1952"/>
      <c r="C5" s="1952"/>
      <c r="D5" s="1952"/>
      <c r="E5" s="1952"/>
      <c r="F5" s="1952"/>
      <c r="G5" s="1952"/>
      <c r="H5" s="1952"/>
    </row>
    <row r="6" spans="1:8" s="588" customFormat="1" ht="33" customHeight="1">
      <c r="A6" s="1448" t="s">
        <v>50</v>
      </c>
      <c r="B6" s="1449" t="s">
        <v>1461</v>
      </c>
      <c r="C6" s="1448" t="s">
        <v>1</v>
      </c>
      <c r="D6" s="1448" t="s">
        <v>368</v>
      </c>
      <c r="E6" s="1450" t="s">
        <v>1163</v>
      </c>
      <c r="F6" s="1448" t="s">
        <v>28</v>
      </c>
      <c r="G6" s="1451" t="s">
        <v>1018</v>
      </c>
      <c r="H6" s="1451" t="s">
        <v>1462</v>
      </c>
    </row>
    <row r="7" spans="1:8" s="1454" customFormat="1" ht="17.25" customHeight="1">
      <c r="A7" s="1448" t="s">
        <v>5</v>
      </c>
      <c r="B7" s="1452" t="s">
        <v>18</v>
      </c>
      <c r="C7" s="1448" t="s">
        <v>417</v>
      </c>
      <c r="D7" s="1453" t="s">
        <v>113</v>
      </c>
      <c r="E7" s="1453" t="s">
        <v>114</v>
      </c>
      <c r="F7" s="1448" t="s">
        <v>1463</v>
      </c>
      <c r="G7" s="1448" t="s">
        <v>426</v>
      </c>
      <c r="H7" s="1448" t="s">
        <v>1021</v>
      </c>
    </row>
    <row r="8" spans="1:8" s="1454" customFormat="1" ht="30.75" customHeight="1">
      <c r="A8" s="1448" t="s">
        <v>6</v>
      </c>
      <c r="B8" s="989" t="s">
        <v>1022</v>
      </c>
      <c r="C8" s="1451"/>
      <c r="D8" s="1453"/>
      <c r="E8" s="1455"/>
      <c r="F8" s="1456">
        <f>F9+F10</f>
        <v>30000000</v>
      </c>
      <c r="G8" s="1451"/>
      <c r="H8" s="1451" t="s">
        <v>1464</v>
      </c>
    </row>
    <row r="9" spans="1:8" s="1454" customFormat="1" ht="25.5" customHeight="1">
      <c r="A9" s="1448">
        <v>1</v>
      </c>
      <c r="B9" s="1457" t="s">
        <v>1465</v>
      </c>
      <c r="C9" s="1458" t="s">
        <v>65</v>
      </c>
      <c r="D9" s="1459" t="s">
        <v>1466</v>
      </c>
      <c r="E9" s="1455"/>
      <c r="F9" s="1460">
        <v>10000000</v>
      </c>
      <c r="G9" s="1451"/>
      <c r="H9" s="1458" t="s">
        <v>1464</v>
      </c>
    </row>
    <row r="10" spans="1:8" s="1454" customFormat="1" ht="33.75" customHeight="1">
      <c r="A10" s="1461">
        <v>2</v>
      </c>
      <c r="B10" s="1462" t="s">
        <v>1467</v>
      </c>
      <c r="C10" s="1458" t="s">
        <v>65</v>
      </c>
      <c r="D10" s="1463">
        <v>1303</v>
      </c>
      <c r="E10" s="1464">
        <v>20000</v>
      </c>
      <c r="F10" s="1460">
        <v>20000000</v>
      </c>
      <c r="G10" s="1465"/>
      <c r="H10" s="1458" t="s">
        <v>1464</v>
      </c>
    </row>
    <row r="11" spans="1:8" s="1454" customFormat="1" ht="22.5" customHeight="1">
      <c r="A11" s="1448" t="s">
        <v>7</v>
      </c>
      <c r="B11" s="994" t="s">
        <v>1468</v>
      </c>
      <c r="C11" s="1448"/>
      <c r="D11" s="1448"/>
      <c r="E11" s="1456"/>
      <c r="F11" s="1456">
        <f>F12+F15+F18+F21+F25+F31+F33+F35</f>
        <v>21560000</v>
      </c>
      <c r="G11" s="1448"/>
      <c r="H11" s="1448"/>
    </row>
    <row r="12" spans="1:8" s="1454" customFormat="1" ht="98.25" customHeight="1">
      <c r="A12" s="1448">
        <v>1</v>
      </c>
      <c r="B12" s="1466" t="s">
        <v>1110</v>
      </c>
      <c r="C12" s="1448"/>
      <c r="D12" s="1448"/>
      <c r="E12" s="1460"/>
      <c r="F12" s="1456">
        <f>F13+F14</f>
        <v>3250000</v>
      </c>
      <c r="G12" s="1467" t="s">
        <v>1469</v>
      </c>
      <c r="H12" s="1468" t="s">
        <v>1470</v>
      </c>
    </row>
    <row r="13" spans="1:8" s="588" customFormat="1" ht="38.25" customHeight="1">
      <c r="A13" s="1468">
        <v>1.1000000000000001</v>
      </c>
      <c r="B13" s="1467" t="s">
        <v>1471</v>
      </c>
      <c r="C13" s="1468" t="s">
        <v>1472</v>
      </c>
      <c r="D13" s="1468">
        <v>5</v>
      </c>
      <c r="E13" s="1460">
        <v>100000</v>
      </c>
      <c r="F13" s="1460">
        <f>D13*E13</f>
        <v>500000</v>
      </c>
      <c r="G13" s="1469"/>
      <c r="H13" s="1470"/>
    </row>
    <row r="14" spans="1:8" s="588" customFormat="1" ht="44.25" customHeight="1">
      <c r="A14" s="1468">
        <v>1.2</v>
      </c>
      <c r="B14" s="1467" t="s">
        <v>1473</v>
      </c>
      <c r="C14" s="1468" t="s">
        <v>1472</v>
      </c>
      <c r="D14" s="1468">
        <v>55</v>
      </c>
      <c r="E14" s="1460">
        <v>50000</v>
      </c>
      <c r="F14" s="1460">
        <f>D14*E14</f>
        <v>2750000</v>
      </c>
      <c r="G14" s="1469"/>
      <c r="H14" s="1470"/>
    </row>
    <row r="15" spans="1:8" s="588" customFormat="1" ht="102">
      <c r="A15" s="1448">
        <v>2</v>
      </c>
      <c r="B15" s="1466" t="s">
        <v>1474</v>
      </c>
      <c r="C15" s="1468"/>
      <c r="D15" s="1468"/>
      <c r="E15" s="1460"/>
      <c r="F15" s="1456">
        <f>F16+F17</f>
        <v>1520000</v>
      </c>
      <c r="G15" s="1467" t="s">
        <v>1475</v>
      </c>
      <c r="H15" s="1470" t="s">
        <v>1470</v>
      </c>
    </row>
    <row r="16" spans="1:8" s="588" customFormat="1" ht="34.5" customHeight="1">
      <c r="A16" s="1468">
        <v>2.1</v>
      </c>
      <c r="B16" s="1467" t="s">
        <v>1476</v>
      </c>
      <c r="C16" s="1458" t="s">
        <v>1472</v>
      </c>
      <c r="D16" s="1468">
        <v>4</v>
      </c>
      <c r="E16" s="1460">
        <v>100000</v>
      </c>
      <c r="F16" s="1460">
        <f>D16*E16</f>
        <v>400000</v>
      </c>
      <c r="G16" s="1469"/>
      <c r="H16" s="1470"/>
    </row>
    <row r="17" spans="1:8" s="588" customFormat="1" ht="36" customHeight="1">
      <c r="A17" s="1468">
        <v>2.2000000000000002</v>
      </c>
      <c r="B17" s="1467" t="s">
        <v>1477</v>
      </c>
      <c r="C17" s="1458" t="s">
        <v>1472</v>
      </c>
      <c r="D17" s="1471">
        <v>16</v>
      </c>
      <c r="E17" s="1460">
        <v>70000</v>
      </c>
      <c r="F17" s="1460">
        <f>D17*E17</f>
        <v>1120000</v>
      </c>
      <c r="G17" s="1469"/>
      <c r="H17" s="1470"/>
    </row>
    <row r="18" spans="1:8" s="588" customFormat="1" ht="84" customHeight="1">
      <c r="A18" s="1448">
        <v>3</v>
      </c>
      <c r="B18" s="1457" t="s">
        <v>1478</v>
      </c>
      <c r="C18" s="1458"/>
      <c r="D18" s="1471"/>
      <c r="E18" s="1460">
        <v>1100000</v>
      </c>
      <c r="F18" s="1456">
        <f>F19+F20</f>
        <v>960000</v>
      </c>
      <c r="G18" s="1467" t="s">
        <v>1479</v>
      </c>
      <c r="H18" s="1108" t="s">
        <v>1470</v>
      </c>
    </row>
    <row r="19" spans="1:8" s="588" customFormat="1" ht="36.75" customHeight="1">
      <c r="A19" s="1468">
        <v>3.1</v>
      </c>
      <c r="B19" s="1467" t="s">
        <v>1476</v>
      </c>
      <c r="C19" s="1458" t="s">
        <v>1472</v>
      </c>
      <c r="D19" s="1468">
        <v>4</v>
      </c>
      <c r="E19" s="1460">
        <v>100000</v>
      </c>
      <c r="F19" s="1460">
        <f>D19*E19</f>
        <v>400000</v>
      </c>
      <c r="G19" s="1469"/>
      <c r="H19" s="1470"/>
    </row>
    <row r="20" spans="1:8" s="588" customFormat="1" ht="42" customHeight="1">
      <c r="A20" s="1468">
        <v>3.2</v>
      </c>
      <c r="B20" s="1467" t="s">
        <v>1480</v>
      </c>
      <c r="C20" s="1468" t="s">
        <v>1472</v>
      </c>
      <c r="D20" s="1468">
        <v>8</v>
      </c>
      <c r="E20" s="1460">
        <v>70000</v>
      </c>
      <c r="F20" s="1460">
        <f>D20*E20</f>
        <v>560000</v>
      </c>
      <c r="G20" s="1469"/>
      <c r="H20" s="1470"/>
    </row>
    <row r="21" spans="1:8" s="588" customFormat="1" ht="134.25" customHeight="1">
      <c r="A21" s="1448">
        <v>4</v>
      </c>
      <c r="B21" s="1466" t="s">
        <v>1481</v>
      </c>
      <c r="C21" s="1468"/>
      <c r="D21" s="1468"/>
      <c r="E21" s="1460"/>
      <c r="F21" s="1456">
        <f>F22+F23+F24</f>
        <v>2140000</v>
      </c>
      <c r="G21" s="1467" t="s">
        <v>1482</v>
      </c>
      <c r="H21" s="1470" t="s">
        <v>1470</v>
      </c>
    </row>
    <row r="22" spans="1:8" s="588" customFormat="1" ht="37.5" customHeight="1">
      <c r="A22" s="1468">
        <v>4.0999999999999996</v>
      </c>
      <c r="B22" s="1467" t="s">
        <v>1483</v>
      </c>
      <c r="C22" s="1468" t="s">
        <v>1472</v>
      </c>
      <c r="D22" s="1468">
        <v>3</v>
      </c>
      <c r="E22" s="1460">
        <v>100000</v>
      </c>
      <c r="F22" s="1460">
        <f>D22*E22</f>
        <v>300000</v>
      </c>
      <c r="G22" s="1469"/>
      <c r="H22" s="1470"/>
    </row>
    <row r="23" spans="1:8" s="588" customFormat="1" ht="48" customHeight="1">
      <c r="A23" s="1468">
        <v>4.2</v>
      </c>
      <c r="B23" s="1467" t="s">
        <v>1484</v>
      </c>
      <c r="C23" s="1468" t="s">
        <v>1472</v>
      </c>
      <c r="D23" s="1468">
        <v>12</v>
      </c>
      <c r="E23" s="1460">
        <v>70000</v>
      </c>
      <c r="F23" s="1460">
        <f>D23*E23</f>
        <v>840000</v>
      </c>
      <c r="G23" s="1469"/>
      <c r="H23" s="1470"/>
    </row>
    <row r="24" spans="1:8" s="588" customFormat="1" ht="38.25" customHeight="1">
      <c r="A24" s="1468">
        <v>4.3</v>
      </c>
      <c r="B24" s="1467" t="s">
        <v>1485</v>
      </c>
      <c r="C24" s="1468" t="s">
        <v>1486</v>
      </c>
      <c r="D24" s="1468">
        <v>50</v>
      </c>
      <c r="E24" s="1460">
        <v>20000</v>
      </c>
      <c r="F24" s="1460">
        <f>D24*E24</f>
        <v>1000000</v>
      </c>
      <c r="G24" s="1469" t="s">
        <v>1487</v>
      </c>
      <c r="H24" s="1470" t="s">
        <v>1488</v>
      </c>
    </row>
    <row r="25" spans="1:8" s="588" customFormat="1" ht="56.25" customHeight="1">
      <c r="A25" s="1008">
        <v>5</v>
      </c>
      <c r="B25" s="1472" t="s">
        <v>1489</v>
      </c>
      <c r="C25" s="1473"/>
      <c r="D25" s="1473"/>
      <c r="E25" s="1474"/>
      <c r="F25" s="1456">
        <f>SUM(F26:F30)</f>
        <v>1815000</v>
      </c>
      <c r="G25" s="1469" t="s">
        <v>1490</v>
      </c>
      <c r="H25" s="1475" t="s">
        <v>1470</v>
      </c>
    </row>
    <row r="26" spans="1:8" s="588" customFormat="1" ht="21.75" customHeight="1">
      <c r="A26" s="1008"/>
      <c r="B26" s="1476" t="s">
        <v>1491</v>
      </c>
      <c r="C26" s="1473" t="s">
        <v>1492</v>
      </c>
      <c r="D26" s="1473">
        <v>1</v>
      </c>
      <c r="E26" s="1474">
        <v>400000</v>
      </c>
      <c r="F26" s="1460">
        <f t="shared" ref="F26:F28" si="0">D26*E26</f>
        <v>400000</v>
      </c>
      <c r="G26" s="1477"/>
      <c r="H26" s="1470"/>
    </row>
    <row r="27" spans="1:8" s="588" customFormat="1" ht="21.75" customHeight="1">
      <c r="A27" s="1008"/>
      <c r="B27" s="1476" t="s">
        <v>1493</v>
      </c>
      <c r="C27" s="1473" t="s">
        <v>1492</v>
      </c>
      <c r="D27" s="1473">
        <v>2</v>
      </c>
      <c r="E27" s="1474">
        <v>300000</v>
      </c>
      <c r="F27" s="1460">
        <f t="shared" si="0"/>
        <v>600000</v>
      </c>
      <c r="G27" s="1477"/>
      <c r="H27" s="1470"/>
    </row>
    <row r="28" spans="1:8" s="588" customFormat="1" ht="21.75" customHeight="1">
      <c r="A28" s="1008"/>
      <c r="B28" s="1476" t="s">
        <v>1494</v>
      </c>
      <c r="C28" s="1473" t="s">
        <v>1492</v>
      </c>
      <c r="D28" s="1473">
        <v>2</v>
      </c>
      <c r="E28" s="1474">
        <v>200000</v>
      </c>
      <c r="F28" s="1460">
        <f t="shared" si="0"/>
        <v>400000</v>
      </c>
      <c r="G28" s="1477"/>
      <c r="H28" s="1470"/>
    </row>
    <row r="29" spans="1:8" s="588" customFormat="1" ht="21.75" customHeight="1">
      <c r="A29" s="1008"/>
      <c r="B29" s="1476" t="s">
        <v>1495</v>
      </c>
      <c r="C29" s="1473" t="s">
        <v>1492</v>
      </c>
      <c r="D29" s="1473">
        <v>1</v>
      </c>
      <c r="E29" s="1474">
        <v>115000</v>
      </c>
      <c r="F29" s="1460">
        <f>D29*E29</f>
        <v>115000</v>
      </c>
      <c r="G29" s="1477"/>
      <c r="H29" s="1470"/>
    </row>
    <row r="30" spans="1:8" s="588" customFormat="1" ht="21.75" customHeight="1">
      <c r="A30" s="1008"/>
      <c r="B30" s="1476" t="s">
        <v>1496</v>
      </c>
      <c r="C30" s="1473" t="s">
        <v>1492</v>
      </c>
      <c r="D30" s="1473">
        <v>6</v>
      </c>
      <c r="E30" s="1474">
        <v>50000</v>
      </c>
      <c r="F30" s="1460">
        <f>D30*E30</f>
        <v>300000</v>
      </c>
      <c r="G30" s="1477"/>
      <c r="H30" s="1478"/>
    </row>
    <row r="31" spans="1:8" s="588" customFormat="1" ht="36.75" customHeight="1">
      <c r="A31" s="1008">
        <v>6</v>
      </c>
      <c r="B31" s="1472" t="s">
        <v>1497</v>
      </c>
      <c r="C31" s="1473"/>
      <c r="D31" s="1473"/>
      <c r="E31" s="1474"/>
      <c r="F31" s="1456">
        <f>F32</f>
        <v>8000000</v>
      </c>
      <c r="G31" s="1479" t="s">
        <v>1498</v>
      </c>
      <c r="H31" s="1480" t="s">
        <v>1470</v>
      </c>
    </row>
    <row r="32" spans="1:8" s="588" customFormat="1" ht="36.75" customHeight="1">
      <c r="A32" s="1008"/>
      <c r="B32" s="1476" t="s">
        <v>1499</v>
      </c>
      <c r="C32" s="1473" t="s">
        <v>1500</v>
      </c>
      <c r="D32" s="1473">
        <v>80</v>
      </c>
      <c r="E32" s="1474">
        <v>100000</v>
      </c>
      <c r="F32" s="1460">
        <f t="shared" ref="F32:F34" si="1">D32*E32</f>
        <v>8000000</v>
      </c>
      <c r="G32" s="1479"/>
      <c r="H32" s="1470"/>
    </row>
    <row r="33" spans="1:9" s="588" customFormat="1" ht="36.75" customHeight="1">
      <c r="A33" s="1008">
        <v>7</v>
      </c>
      <c r="B33" s="1472" t="s">
        <v>1501</v>
      </c>
      <c r="C33" s="1473"/>
      <c r="D33" s="1473"/>
      <c r="E33" s="1474"/>
      <c r="F33" s="1456">
        <f>SUM(F34:F34)</f>
        <v>400000</v>
      </c>
      <c r="G33" s="1479" t="s">
        <v>1498</v>
      </c>
      <c r="H33" s="1470" t="s">
        <v>1502</v>
      </c>
    </row>
    <row r="34" spans="1:9" s="588" customFormat="1" ht="55.5" customHeight="1">
      <c r="A34" s="1008"/>
      <c r="B34" s="1476" t="s">
        <v>1503</v>
      </c>
      <c r="C34" s="1473" t="s">
        <v>1472</v>
      </c>
      <c r="D34" s="1473">
        <v>8</v>
      </c>
      <c r="E34" s="1474">
        <v>50000</v>
      </c>
      <c r="F34" s="1460">
        <f t="shared" si="1"/>
        <v>400000</v>
      </c>
      <c r="G34" s="1479"/>
      <c r="H34" s="1470"/>
    </row>
    <row r="35" spans="1:9" s="588" customFormat="1" ht="37.5" customHeight="1">
      <c r="A35" s="1008">
        <v>8</v>
      </c>
      <c r="B35" s="1472" t="s">
        <v>1504</v>
      </c>
      <c r="C35" s="1473"/>
      <c r="D35" s="1473"/>
      <c r="E35" s="1474"/>
      <c r="F35" s="1456">
        <f>SUM(F36:F42)</f>
        <v>3475000</v>
      </c>
      <c r="G35" s="1479"/>
      <c r="H35" s="1470" t="s">
        <v>1502</v>
      </c>
    </row>
    <row r="36" spans="1:9" s="588" customFormat="1" ht="33.75" customHeight="1">
      <c r="A36" s="1008"/>
      <c r="B36" s="1476" t="s">
        <v>1505</v>
      </c>
      <c r="C36" s="1473" t="s">
        <v>771</v>
      </c>
      <c r="D36" s="1473">
        <v>1</v>
      </c>
      <c r="E36" s="1474">
        <v>600000</v>
      </c>
      <c r="F36" s="1460">
        <f t="shared" ref="F36:F42" si="2">D36*E36</f>
        <v>600000</v>
      </c>
      <c r="G36" s="1479" t="s">
        <v>1430</v>
      </c>
      <c r="H36" s="1470"/>
    </row>
    <row r="37" spans="1:9" s="588" customFormat="1" ht="20.25" customHeight="1">
      <c r="A37" s="1008"/>
      <c r="B37" s="1476" t="s">
        <v>1506</v>
      </c>
      <c r="C37" s="1473" t="s">
        <v>1507</v>
      </c>
      <c r="D37" s="1473">
        <v>9</v>
      </c>
      <c r="E37" s="1474">
        <v>55000</v>
      </c>
      <c r="F37" s="1460">
        <f t="shared" si="2"/>
        <v>495000</v>
      </c>
      <c r="G37" s="1479" t="s">
        <v>1430</v>
      </c>
      <c r="H37" s="1470"/>
    </row>
    <row r="38" spans="1:9" s="588" customFormat="1" ht="20.25" customHeight="1">
      <c r="A38" s="1008"/>
      <c r="B38" s="1476" t="s">
        <v>1508</v>
      </c>
      <c r="C38" s="1473" t="s">
        <v>1509</v>
      </c>
      <c r="D38" s="1473">
        <v>10</v>
      </c>
      <c r="E38" s="1474">
        <v>48000</v>
      </c>
      <c r="F38" s="1460">
        <f t="shared" si="2"/>
        <v>480000</v>
      </c>
      <c r="G38" s="1479" t="s">
        <v>1430</v>
      </c>
      <c r="H38" s="1470"/>
    </row>
    <row r="39" spans="1:9" s="588" customFormat="1" ht="20.25" customHeight="1">
      <c r="A39" s="1008"/>
      <c r="B39" s="1476" t="s">
        <v>1139</v>
      </c>
      <c r="C39" s="1473" t="s">
        <v>1510</v>
      </c>
      <c r="D39" s="1473">
        <v>100</v>
      </c>
      <c r="E39" s="1474">
        <v>5000</v>
      </c>
      <c r="F39" s="1460">
        <f t="shared" si="2"/>
        <v>500000</v>
      </c>
      <c r="G39" s="1479" t="s">
        <v>1430</v>
      </c>
      <c r="H39" s="1470"/>
    </row>
    <row r="40" spans="1:9" s="588" customFormat="1" ht="20.25" customHeight="1">
      <c r="A40" s="1008"/>
      <c r="B40" s="1476" t="s">
        <v>1511</v>
      </c>
      <c r="C40" s="1473" t="s">
        <v>771</v>
      </c>
      <c r="D40" s="1473">
        <v>10</v>
      </c>
      <c r="E40" s="1474">
        <v>50000</v>
      </c>
      <c r="F40" s="1460">
        <f t="shared" si="2"/>
        <v>500000</v>
      </c>
      <c r="G40" s="1479" t="s">
        <v>1430</v>
      </c>
      <c r="H40" s="1470"/>
    </row>
    <row r="41" spans="1:9" s="588" customFormat="1" ht="39" customHeight="1">
      <c r="A41" s="1008"/>
      <c r="B41" s="1476" t="s">
        <v>1512</v>
      </c>
      <c r="C41" s="1473" t="s">
        <v>1513</v>
      </c>
      <c r="D41" s="1473">
        <v>10</v>
      </c>
      <c r="E41" s="1474">
        <v>50000</v>
      </c>
      <c r="F41" s="1460">
        <f t="shared" si="2"/>
        <v>500000</v>
      </c>
      <c r="G41" s="1479" t="s">
        <v>1430</v>
      </c>
      <c r="H41" s="1470"/>
    </row>
    <row r="42" spans="1:9" s="588" customFormat="1" ht="54" customHeight="1">
      <c r="A42" s="1008"/>
      <c r="B42" s="1476" t="s">
        <v>1514</v>
      </c>
      <c r="C42" s="1473" t="s">
        <v>1515</v>
      </c>
      <c r="D42" s="1473">
        <v>4</v>
      </c>
      <c r="E42" s="1474">
        <v>100000</v>
      </c>
      <c r="F42" s="1460">
        <f t="shared" si="2"/>
        <v>400000</v>
      </c>
      <c r="G42" s="1479" t="s">
        <v>1498</v>
      </c>
      <c r="H42" s="1470"/>
    </row>
    <row r="43" spans="1:9" s="1483" customFormat="1" ht="27" customHeight="1">
      <c r="A43" s="1008" t="s">
        <v>24</v>
      </c>
      <c r="B43" s="1002" t="s">
        <v>1516</v>
      </c>
      <c r="C43" s="1473"/>
      <c r="D43" s="1473"/>
      <c r="E43" s="1474"/>
      <c r="F43" s="1481">
        <f>F8-F11</f>
        <v>8440000</v>
      </c>
      <c r="G43" s="1482"/>
      <c r="H43" s="1475"/>
    </row>
    <row r="44" spans="1:9" s="1483" customFormat="1">
      <c r="A44" s="1468"/>
      <c r="B44" s="1484" t="s">
        <v>1517</v>
      </c>
      <c r="C44" s="1458"/>
      <c r="D44" s="1468"/>
      <c r="E44" s="1460"/>
      <c r="F44" s="1456">
        <f>F11</f>
        <v>21560000</v>
      </c>
      <c r="G44" s="1485"/>
      <c r="H44" s="1458"/>
    </row>
    <row r="45" spans="1:9" ht="20.25" customHeight="1">
      <c r="B45" s="1014" t="s">
        <v>1522</v>
      </c>
      <c r="G45" s="949" t="s">
        <v>1521</v>
      </c>
      <c r="I45" s="1017"/>
    </row>
    <row r="46" spans="1:9" s="1019" customFormat="1" ht="15" customHeight="1">
      <c r="A46" s="1018"/>
      <c r="B46" s="947" t="s">
        <v>1219</v>
      </c>
      <c r="C46" s="633"/>
      <c r="D46" s="1014"/>
      <c r="E46" s="2013" t="s">
        <v>1518</v>
      </c>
      <c r="F46" s="2013"/>
      <c r="H46" s="1018" t="s">
        <v>1221</v>
      </c>
    </row>
    <row r="47" spans="1:9" s="1019" customFormat="1" ht="13" customHeight="1">
      <c r="A47" s="633"/>
      <c r="C47" s="947"/>
      <c r="E47" s="1018"/>
      <c r="H47" s="947"/>
    </row>
    <row r="48" spans="1:9" s="1019" customFormat="1" ht="14">
      <c r="A48" s="633"/>
      <c r="B48" s="1014"/>
      <c r="D48" s="1018"/>
      <c r="E48" s="1018"/>
      <c r="F48" s="1018"/>
      <c r="H48" s="947"/>
    </row>
    <row r="49" spans="1:9" s="1019" customFormat="1">
      <c r="A49" s="1018"/>
      <c r="B49" s="1014"/>
      <c r="C49" s="947"/>
      <c r="D49" s="1018"/>
      <c r="E49" s="1020"/>
      <c r="F49" s="948"/>
      <c r="G49" s="946"/>
      <c r="H49" s="1018"/>
    </row>
    <row r="50" spans="1:9" s="1019" customFormat="1" ht="17">
      <c r="A50" s="1018"/>
      <c r="B50" s="1014"/>
      <c r="C50" s="947"/>
      <c r="D50" s="1952"/>
      <c r="E50" s="1952"/>
      <c r="F50" s="1021"/>
      <c r="G50" s="1022"/>
      <c r="H50" s="1023"/>
      <c r="I50" s="1022"/>
    </row>
    <row r="51" spans="1:9" s="623" customFormat="1">
      <c r="A51" s="1024"/>
      <c r="B51" s="945"/>
      <c r="C51" s="944"/>
      <c r="D51" s="1024"/>
      <c r="E51" s="2009" t="s">
        <v>1454</v>
      </c>
      <c r="F51" s="2009"/>
      <c r="G51" s="943"/>
      <c r="H51" s="947" t="s">
        <v>301</v>
      </c>
    </row>
    <row r="52" spans="1:9" ht="19.5" customHeight="1">
      <c r="B52" s="1025" t="s">
        <v>1519</v>
      </c>
      <c r="E52" s="2009" t="s">
        <v>1218</v>
      </c>
      <c r="F52" s="2009"/>
      <c r="G52" s="1019"/>
    </row>
    <row r="54" spans="1:9" ht="15" customHeight="1"/>
    <row r="56" spans="1:9">
      <c r="C56" s="1026"/>
      <c r="D56" s="2010"/>
      <c r="E56" s="2010"/>
    </row>
  </sheetData>
  <mergeCells count="10">
    <mergeCell ref="D50:E50"/>
    <mergeCell ref="E51:F51"/>
    <mergeCell ref="E52:F52"/>
    <mergeCell ref="D56:E56"/>
    <mergeCell ref="A1:B1"/>
    <mergeCell ref="C1:G1"/>
    <mergeCell ref="C2:G2"/>
    <mergeCell ref="A4:H4"/>
    <mergeCell ref="A5:H5"/>
    <mergeCell ref="E46:F46"/>
  </mergeCells>
  <pageMargins left="0.62" right="0.38" top="0.75" bottom="0.75" header="0.3" footer="0.3"/>
  <pageSetup paperSize="9" scale="7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58"/>
  <sheetViews>
    <sheetView view="pageBreakPreview" zoomScale="115" zoomScaleNormal="100" zoomScaleSheetLayoutView="115" workbookViewId="0">
      <selection activeCell="A4" sqref="A4:H4"/>
    </sheetView>
  </sheetViews>
  <sheetFormatPr baseColWidth="10" defaultColWidth="9.1640625" defaultRowHeight="16"/>
  <cols>
    <col min="1" max="1" width="5.1640625" style="980" customWidth="1"/>
    <col min="2" max="2" width="38.5" style="981" customWidth="1"/>
    <col min="3" max="3" width="10.5" style="628" customWidth="1"/>
    <col min="4" max="4" width="8.33203125" style="980" customWidth="1"/>
    <col min="5" max="5" width="9.83203125" style="1015" customWidth="1"/>
    <col min="6" max="6" width="13" style="1016" customWidth="1"/>
    <col min="7" max="7" width="24.5" style="599" customWidth="1"/>
    <col min="8" max="8" width="24.1640625" style="623" customWidth="1"/>
    <col min="9" max="16384" width="9.1640625" style="669"/>
  </cols>
  <sheetData>
    <row r="1" spans="1:8" ht="14">
      <c r="A1" s="2011" t="s">
        <v>134</v>
      </c>
      <c r="B1" s="2011"/>
      <c r="C1" s="2012" t="s">
        <v>955</v>
      </c>
      <c r="D1" s="2012"/>
      <c r="E1" s="2012"/>
      <c r="F1" s="2012"/>
      <c r="G1" s="2012"/>
    </row>
    <row r="2" spans="1:8" ht="14">
      <c r="B2" s="981" t="s">
        <v>1009</v>
      </c>
      <c r="C2" s="2012" t="s">
        <v>956</v>
      </c>
      <c r="D2" s="2012"/>
      <c r="E2" s="2012"/>
      <c r="F2" s="2012"/>
      <c r="G2" s="2012"/>
    </row>
    <row r="3" spans="1:8">
      <c r="H3" s="1828" t="s">
        <v>1666</v>
      </c>
    </row>
    <row r="4" spans="1:8" ht="14">
      <c r="A4" s="1952" t="s">
        <v>1556</v>
      </c>
      <c r="B4" s="1952"/>
      <c r="C4" s="1952"/>
      <c r="D4" s="1952"/>
      <c r="E4" s="1952"/>
      <c r="F4" s="1952"/>
      <c r="G4" s="1952"/>
      <c r="H4" s="1952"/>
    </row>
    <row r="5" spans="1:8" ht="14">
      <c r="A5" s="1952" t="s">
        <v>1555</v>
      </c>
      <c r="B5" s="1952"/>
      <c r="C5" s="1952"/>
      <c r="D5" s="1952"/>
      <c r="E5" s="1952"/>
      <c r="F5" s="1952"/>
      <c r="G5" s="1952"/>
      <c r="H5" s="1952"/>
    </row>
    <row r="6" spans="1:8" ht="33" customHeight="1">
      <c r="A6" s="982" t="s">
        <v>50</v>
      </c>
      <c r="B6" s="986" t="s">
        <v>1461</v>
      </c>
      <c r="C6" s="985" t="s">
        <v>1</v>
      </c>
      <c r="D6" s="982" t="s">
        <v>368</v>
      </c>
      <c r="E6" s="984" t="s">
        <v>1163</v>
      </c>
      <c r="F6" s="982" t="s">
        <v>28</v>
      </c>
      <c r="G6" s="985" t="s">
        <v>1018</v>
      </c>
      <c r="H6" s="985" t="s">
        <v>1462</v>
      </c>
    </row>
    <row r="7" spans="1:8" s="988" customFormat="1" ht="17.25" customHeight="1">
      <c r="A7" s="982"/>
      <c r="B7" s="986" t="s">
        <v>18</v>
      </c>
      <c r="C7" s="982" t="s">
        <v>417</v>
      </c>
      <c r="D7" s="987" t="s">
        <v>113</v>
      </c>
      <c r="E7" s="987" t="s">
        <v>114</v>
      </c>
      <c r="F7" s="982" t="s">
        <v>1463</v>
      </c>
      <c r="G7" s="982" t="s">
        <v>426</v>
      </c>
      <c r="H7" s="982" t="s">
        <v>1021</v>
      </c>
    </row>
    <row r="8" spans="1:8" s="988" customFormat="1" ht="37.5" customHeight="1">
      <c r="A8" s="982">
        <v>1.1000000000000001</v>
      </c>
      <c r="B8" s="1027" t="s">
        <v>1524</v>
      </c>
      <c r="C8" s="982" t="s">
        <v>985</v>
      </c>
      <c r="D8" s="987" t="s">
        <v>1525</v>
      </c>
      <c r="E8" s="987" t="s">
        <v>1526</v>
      </c>
      <c r="F8" s="984">
        <f>F9+F10</f>
        <v>3000000</v>
      </c>
      <c r="G8" s="996" t="s">
        <v>1469</v>
      </c>
      <c r="H8" s="982"/>
    </row>
    <row r="9" spans="1:8" s="988" customFormat="1" ht="37.5" customHeight="1">
      <c r="A9" s="982"/>
      <c r="B9" s="996" t="s">
        <v>1527</v>
      </c>
      <c r="C9" s="997" t="s">
        <v>1472</v>
      </c>
      <c r="D9" s="997">
        <v>10</v>
      </c>
      <c r="E9" s="993">
        <v>100000</v>
      </c>
      <c r="F9" s="993">
        <f>D9*E9</f>
        <v>1000000</v>
      </c>
      <c r="G9" s="996" t="s">
        <v>1498</v>
      </c>
      <c r="H9" s="982"/>
    </row>
    <row r="10" spans="1:8" s="988" customFormat="1" ht="37.5" customHeight="1">
      <c r="A10" s="982"/>
      <c r="B10" s="996" t="s">
        <v>1528</v>
      </c>
      <c r="C10" s="997" t="s">
        <v>1472</v>
      </c>
      <c r="D10" s="997">
        <v>40</v>
      </c>
      <c r="E10" s="993">
        <v>50000</v>
      </c>
      <c r="F10" s="993">
        <f>D10*E10</f>
        <v>2000000</v>
      </c>
      <c r="G10" s="996" t="s">
        <v>1498</v>
      </c>
      <c r="H10" s="982"/>
    </row>
    <row r="11" spans="1:8" s="988" customFormat="1" ht="28.5" customHeight="1">
      <c r="A11" s="982">
        <v>1.2</v>
      </c>
      <c r="B11" s="995" t="s">
        <v>1529</v>
      </c>
      <c r="C11" s="982"/>
      <c r="D11" s="987"/>
      <c r="E11" s="987"/>
      <c r="F11" s="984"/>
      <c r="G11" s="997"/>
      <c r="H11" s="982"/>
    </row>
    <row r="12" spans="1:8" s="988" customFormat="1" ht="25.5" customHeight="1">
      <c r="A12" s="982" t="s">
        <v>1530</v>
      </c>
      <c r="B12" s="996" t="s">
        <v>1531</v>
      </c>
      <c r="C12" s="997" t="s">
        <v>1472</v>
      </c>
      <c r="D12" s="992" t="s">
        <v>1532</v>
      </c>
      <c r="E12" s="992" t="s">
        <v>1526</v>
      </c>
      <c r="F12" s="992" t="s">
        <v>1533</v>
      </c>
      <c r="G12" s="996" t="s">
        <v>1498</v>
      </c>
      <c r="H12" s="982"/>
    </row>
    <row r="13" spans="1:8" s="988" customFormat="1" ht="25.5" customHeight="1">
      <c r="A13" s="982" t="s">
        <v>1534</v>
      </c>
      <c r="B13" s="1028" t="s">
        <v>1535</v>
      </c>
      <c r="C13" s="982" t="s">
        <v>1500</v>
      </c>
      <c r="D13" s="987"/>
      <c r="E13" s="987"/>
      <c r="F13" s="984">
        <v>2000000</v>
      </c>
      <c r="G13" s="996" t="s">
        <v>1498</v>
      </c>
      <c r="H13" s="982"/>
    </row>
    <row r="14" spans="1:8" s="988" customFormat="1" ht="17.25" customHeight="1">
      <c r="A14" s="982" t="s">
        <v>5</v>
      </c>
      <c r="B14" s="983" t="s">
        <v>1536</v>
      </c>
      <c r="C14" s="982"/>
      <c r="D14" s="987"/>
      <c r="E14" s="987"/>
      <c r="F14" s="982"/>
      <c r="G14" s="982"/>
      <c r="H14" s="982"/>
    </row>
    <row r="15" spans="1:8" s="988" customFormat="1" ht="18" customHeight="1">
      <c r="A15" s="982" t="s">
        <v>6</v>
      </c>
      <c r="B15" s="989" t="s">
        <v>1022</v>
      </c>
      <c r="C15" s="985"/>
      <c r="D15" s="987"/>
      <c r="E15" s="987"/>
      <c r="F15" s="984">
        <f>F16</f>
        <v>10000000</v>
      </c>
      <c r="G15" s="985"/>
      <c r="H15" s="985" t="s">
        <v>1464</v>
      </c>
    </row>
    <row r="16" spans="1:8" s="988" customFormat="1" ht="18" customHeight="1">
      <c r="A16" s="982">
        <v>1</v>
      </c>
      <c r="B16" s="990" t="s">
        <v>1537</v>
      </c>
      <c r="C16" s="991" t="s">
        <v>65</v>
      </c>
      <c r="D16" s="992" t="s">
        <v>1538</v>
      </c>
      <c r="E16" s="987"/>
      <c r="F16" s="993">
        <v>10000000</v>
      </c>
      <c r="G16" s="985"/>
      <c r="H16" s="991" t="s">
        <v>1464</v>
      </c>
    </row>
    <row r="17" spans="1:8" s="988" customFormat="1" ht="25" customHeight="1">
      <c r="A17" s="982" t="s">
        <v>7</v>
      </c>
      <c r="B17" s="1029" t="s">
        <v>1468</v>
      </c>
      <c r="C17" s="982"/>
      <c r="D17" s="982"/>
      <c r="E17" s="984"/>
      <c r="F17" s="984">
        <f>F18+F21+F24+F27+F31+F35+F37</f>
        <v>7860000</v>
      </c>
      <c r="G17" s="982"/>
      <c r="H17" s="982"/>
    </row>
    <row r="18" spans="1:8" s="988" customFormat="1" ht="42">
      <c r="A18" s="982">
        <v>1</v>
      </c>
      <c r="B18" s="995" t="s">
        <v>1110</v>
      </c>
      <c r="C18" s="982"/>
      <c r="D18" s="982"/>
      <c r="E18" s="993"/>
      <c r="F18" s="984">
        <f>F19+F20</f>
        <v>1000000</v>
      </c>
      <c r="G18" s="996" t="s">
        <v>1469</v>
      </c>
      <c r="H18" s="997" t="s">
        <v>1470</v>
      </c>
    </row>
    <row r="19" spans="1:8" ht="21.75" customHeight="1">
      <c r="A19" s="997">
        <v>1.1000000000000001</v>
      </c>
      <c r="B19" s="996" t="s">
        <v>1539</v>
      </c>
      <c r="C19" s="997" t="s">
        <v>1472</v>
      </c>
      <c r="D19" s="997">
        <v>2</v>
      </c>
      <c r="E19" s="993">
        <v>100000</v>
      </c>
      <c r="F19" s="993">
        <f>D19*E19</f>
        <v>200000</v>
      </c>
      <c r="G19" s="998"/>
      <c r="H19" s="1030"/>
    </row>
    <row r="20" spans="1:8" ht="27.75" customHeight="1">
      <c r="A20" s="997">
        <v>1.2</v>
      </c>
      <c r="B20" s="996" t="s">
        <v>1540</v>
      </c>
      <c r="C20" s="997" t="s">
        <v>1472</v>
      </c>
      <c r="D20" s="997">
        <v>16</v>
      </c>
      <c r="E20" s="993">
        <v>50000</v>
      </c>
      <c r="F20" s="993">
        <f>D20*E20</f>
        <v>800000</v>
      </c>
      <c r="G20" s="998"/>
      <c r="H20" s="1030"/>
    </row>
    <row r="21" spans="1:8" ht="42">
      <c r="A21" s="982">
        <v>2</v>
      </c>
      <c r="B21" s="995" t="s">
        <v>1474</v>
      </c>
      <c r="C21" s="997"/>
      <c r="D21" s="997"/>
      <c r="E21" s="993"/>
      <c r="F21" s="984">
        <f>F22+F23</f>
        <v>760000</v>
      </c>
      <c r="G21" s="996" t="s">
        <v>1475</v>
      </c>
      <c r="H21" s="999" t="s">
        <v>1470</v>
      </c>
    </row>
    <row r="22" spans="1:8" ht="14">
      <c r="A22" s="997">
        <v>2.1</v>
      </c>
      <c r="B22" s="996" t="s">
        <v>1539</v>
      </c>
      <c r="C22" s="991" t="s">
        <v>1472</v>
      </c>
      <c r="D22" s="997">
        <v>2</v>
      </c>
      <c r="E22" s="993">
        <v>100000</v>
      </c>
      <c r="F22" s="993">
        <f>D22*E22</f>
        <v>200000</v>
      </c>
      <c r="G22" s="998"/>
      <c r="H22" s="1030"/>
    </row>
    <row r="23" spans="1:8" ht="21" customHeight="1">
      <c r="A23" s="997">
        <v>2.2000000000000002</v>
      </c>
      <c r="B23" s="1000" t="s">
        <v>1541</v>
      </c>
      <c r="C23" s="991" t="s">
        <v>1472</v>
      </c>
      <c r="D23" s="993">
        <v>8</v>
      </c>
      <c r="E23" s="993">
        <v>70000</v>
      </c>
      <c r="F23" s="993">
        <f>D23*E23</f>
        <v>560000</v>
      </c>
      <c r="G23" s="998"/>
      <c r="H23" s="1030"/>
    </row>
    <row r="24" spans="1:8" ht="37.5" customHeight="1">
      <c r="A24" s="982">
        <v>3</v>
      </c>
      <c r="B24" s="990" t="s">
        <v>1478</v>
      </c>
      <c r="C24" s="991"/>
      <c r="D24" s="993"/>
      <c r="E24" s="993">
        <v>1100000</v>
      </c>
      <c r="F24" s="984">
        <f>F25+F26</f>
        <v>400000</v>
      </c>
      <c r="G24" s="996" t="s">
        <v>1479</v>
      </c>
      <c r="H24" s="1001" t="s">
        <v>1470</v>
      </c>
    </row>
    <row r="25" spans="1:8" ht="23.25" customHeight="1">
      <c r="A25" s="997">
        <v>3.1</v>
      </c>
      <c r="B25" s="1000" t="s">
        <v>1539</v>
      </c>
      <c r="C25" s="991" t="s">
        <v>1472</v>
      </c>
      <c r="D25" s="997">
        <v>2</v>
      </c>
      <c r="E25" s="993">
        <v>60000</v>
      </c>
      <c r="F25" s="993">
        <f>D25*E25</f>
        <v>120000</v>
      </c>
      <c r="G25" s="998"/>
      <c r="H25" s="1030"/>
    </row>
    <row r="26" spans="1:8" ht="20.25" customHeight="1">
      <c r="A26" s="997">
        <v>3.2</v>
      </c>
      <c r="B26" s="996" t="s">
        <v>1542</v>
      </c>
      <c r="C26" s="997" t="s">
        <v>1472</v>
      </c>
      <c r="D26" s="997">
        <v>4</v>
      </c>
      <c r="E26" s="993">
        <v>70000</v>
      </c>
      <c r="F26" s="993">
        <f>D26*E26</f>
        <v>280000</v>
      </c>
      <c r="G26" s="998"/>
      <c r="H26" s="1030"/>
    </row>
    <row r="27" spans="1:8" ht="57" customHeight="1">
      <c r="A27" s="982">
        <v>4</v>
      </c>
      <c r="B27" s="995" t="s">
        <v>1481</v>
      </c>
      <c r="C27" s="997"/>
      <c r="D27" s="997"/>
      <c r="E27" s="993"/>
      <c r="F27" s="984">
        <f>F28+F29+F30</f>
        <v>600000</v>
      </c>
      <c r="G27" s="996" t="s">
        <v>1482</v>
      </c>
      <c r="H27" s="999" t="s">
        <v>1470</v>
      </c>
    </row>
    <row r="28" spans="1:8" ht="19.5" customHeight="1">
      <c r="A28" s="997">
        <v>4.0999999999999996</v>
      </c>
      <c r="B28" s="996" t="s">
        <v>1543</v>
      </c>
      <c r="C28" s="997" t="s">
        <v>1472</v>
      </c>
      <c r="D28" s="997">
        <v>2</v>
      </c>
      <c r="E28" s="993">
        <v>100000</v>
      </c>
      <c r="F28" s="993">
        <f>D28*E28</f>
        <v>200000</v>
      </c>
      <c r="G28" s="998"/>
      <c r="H28" s="1030"/>
    </row>
    <row r="29" spans="1:8" ht="28.5" customHeight="1">
      <c r="A29" s="997">
        <v>4.2</v>
      </c>
      <c r="B29" s="996" t="s">
        <v>1544</v>
      </c>
      <c r="C29" s="997" t="s">
        <v>1472</v>
      </c>
      <c r="D29" s="997">
        <v>4</v>
      </c>
      <c r="E29" s="993">
        <v>50000</v>
      </c>
      <c r="F29" s="993">
        <f>D29*E29</f>
        <v>200000</v>
      </c>
      <c r="G29" s="998"/>
      <c r="H29" s="1030"/>
    </row>
    <row r="30" spans="1:8" ht="28.5" customHeight="1">
      <c r="A30" s="997" t="s">
        <v>1545</v>
      </c>
      <c r="B30" s="996" t="s">
        <v>1546</v>
      </c>
      <c r="C30" s="997" t="s">
        <v>1472</v>
      </c>
      <c r="D30" s="997">
        <v>4</v>
      </c>
      <c r="E30" s="993">
        <v>50000</v>
      </c>
      <c r="F30" s="993">
        <f>D30*E30</f>
        <v>200000</v>
      </c>
      <c r="G30" s="998"/>
      <c r="H30" s="1030"/>
    </row>
    <row r="31" spans="1:8" ht="28">
      <c r="A31" s="1002">
        <v>5</v>
      </c>
      <c r="B31" s="1003" t="s">
        <v>1547</v>
      </c>
      <c r="C31" s="1004"/>
      <c r="D31" s="1004"/>
      <c r="E31" s="1005"/>
      <c r="F31" s="984">
        <f>SUM(F32:F34)</f>
        <v>900000</v>
      </c>
      <c r="G31" s="998" t="s">
        <v>1490</v>
      </c>
      <c r="H31" s="1031" t="s">
        <v>1470</v>
      </c>
    </row>
    <row r="32" spans="1:8" ht="14">
      <c r="A32" s="1002"/>
      <c r="B32" s="1006" t="s">
        <v>1491</v>
      </c>
      <c r="C32" s="1004" t="s">
        <v>1492</v>
      </c>
      <c r="D32" s="1004">
        <v>1</v>
      </c>
      <c r="E32" s="1005">
        <v>400000</v>
      </c>
      <c r="F32" s="993">
        <f t="shared" ref="F32:F33" si="0">D32*E32</f>
        <v>400000</v>
      </c>
      <c r="G32" s="1007"/>
      <c r="H32" s="1030"/>
    </row>
    <row r="33" spans="1:9" ht="14">
      <c r="A33" s="1002"/>
      <c r="B33" s="1006" t="s">
        <v>1493</v>
      </c>
      <c r="C33" s="1004" t="s">
        <v>1492</v>
      </c>
      <c r="D33" s="1004">
        <v>1</v>
      </c>
      <c r="E33" s="1005">
        <v>300000</v>
      </c>
      <c r="F33" s="993">
        <f t="shared" si="0"/>
        <v>300000</v>
      </c>
      <c r="G33" s="1007"/>
      <c r="H33" s="1030"/>
    </row>
    <row r="34" spans="1:9" ht="14">
      <c r="A34" s="1002"/>
      <c r="B34" s="1006" t="s">
        <v>1548</v>
      </c>
      <c r="C34" s="1004" t="s">
        <v>1492</v>
      </c>
      <c r="D34" s="1004">
        <v>1</v>
      </c>
      <c r="E34" s="1005">
        <v>200000</v>
      </c>
      <c r="F34" s="993">
        <f>D34*E34</f>
        <v>200000</v>
      </c>
      <c r="G34" s="1007"/>
      <c r="H34" s="1030"/>
    </row>
    <row r="35" spans="1:9" ht="14">
      <c r="A35" s="1002">
        <v>6</v>
      </c>
      <c r="B35" s="1003" t="s">
        <v>1497</v>
      </c>
      <c r="C35" s="1004"/>
      <c r="D35" s="1004"/>
      <c r="E35" s="1005"/>
      <c r="F35" s="984">
        <f>F36</f>
        <v>3000000</v>
      </c>
      <c r="G35" s="1005" t="s">
        <v>1498</v>
      </c>
      <c r="H35" s="1032" t="s">
        <v>1470</v>
      </c>
    </row>
    <row r="36" spans="1:9" ht="14">
      <c r="A36" s="1002"/>
      <c r="B36" s="1006" t="s">
        <v>1549</v>
      </c>
      <c r="C36" s="1004" t="s">
        <v>1500</v>
      </c>
      <c r="D36" s="1004">
        <v>30</v>
      </c>
      <c r="E36" s="1005">
        <v>100000</v>
      </c>
      <c r="F36" s="993">
        <f t="shared" ref="F36" si="1">D36*E36</f>
        <v>3000000</v>
      </c>
      <c r="G36" s="1005"/>
      <c r="H36" s="999"/>
    </row>
    <row r="37" spans="1:9" ht="14">
      <c r="A37" s="1002">
        <v>8</v>
      </c>
      <c r="B37" s="1003" t="s">
        <v>1504</v>
      </c>
      <c r="C37" s="1004"/>
      <c r="D37" s="1004"/>
      <c r="E37" s="1005"/>
      <c r="F37" s="984">
        <f>SUM(F38:F44)</f>
        <v>1200000</v>
      </c>
      <c r="G37" s="1005"/>
      <c r="H37" s="999" t="s">
        <v>1502</v>
      </c>
    </row>
    <row r="38" spans="1:9" ht="14">
      <c r="A38" s="1002"/>
      <c r="B38" s="1006" t="s">
        <v>767</v>
      </c>
      <c r="C38" s="1004" t="s">
        <v>771</v>
      </c>
      <c r="D38" s="1004">
        <v>1</v>
      </c>
      <c r="E38" s="1005">
        <v>100000</v>
      </c>
      <c r="F38" s="993">
        <f t="shared" ref="F38:F44" si="2">D38*E38</f>
        <v>100000</v>
      </c>
      <c r="G38" s="1005" t="s">
        <v>1430</v>
      </c>
      <c r="H38" s="999"/>
    </row>
    <row r="39" spans="1:9" ht="14">
      <c r="A39" s="1002"/>
      <c r="B39" s="1006" t="s">
        <v>1506</v>
      </c>
      <c r="C39" s="1004" t="s">
        <v>1507</v>
      </c>
      <c r="D39" s="1004">
        <v>2</v>
      </c>
      <c r="E39" s="1005">
        <v>90000</v>
      </c>
      <c r="F39" s="993">
        <f t="shared" si="2"/>
        <v>180000</v>
      </c>
      <c r="G39" s="1005" t="s">
        <v>1430</v>
      </c>
      <c r="H39" s="999"/>
    </row>
    <row r="40" spans="1:9" ht="14">
      <c r="A40" s="1002"/>
      <c r="B40" s="1006" t="s">
        <v>1508</v>
      </c>
      <c r="C40" s="1004" t="s">
        <v>1509</v>
      </c>
      <c r="D40" s="1004">
        <v>3</v>
      </c>
      <c r="E40" s="1005">
        <v>45000</v>
      </c>
      <c r="F40" s="993">
        <f>D40*E40</f>
        <v>135000</v>
      </c>
      <c r="G40" s="1005" t="s">
        <v>1430</v>
      </c>
      <c r="H40" s="999"/>
    </row>
    <row r="41" spans="1:9" ht="14">
      <c r="A41" s="1002"/>
      <c r="B41" s="1006" t="s">
        <v>1139</v>
      </c>
      <c r="C41" s="1004" t="s">
        <v>1510</v>
      </c>
      <c r="D41" s="1004">
        <v>38</v>
      </c>
      <c r="E41" s="1005">
        <v>5000</v>
      </c>
      <c r="F41" s="993">
        <f t="shared" si="2"/>
        <v>190000</v>
      </c>
      <c r="G41" s="1005" t="s">
        <v>1430</v>
      </c>
      <c r="H41" s="999"/>
    </row>
    <row r="42" spans="1:9" ht="14">
      <c r="A42" s="1002"/>
      <c r="B42" s="1006" t="s">
        <v>1550</v>
      </c>
      <c r="C42" s="1004" t="s">
        <v>771</v>
      </c>
      <c r="D42" s="1004">
        <v>3</v>
      </c>
      <c r="E42" s="1005">
        <v>65000</v>
      </c>
      <c r="F42" s="993">
        <f t="shared" si="2"/>
        <v>195000</v>
      </c>
      <c r="G42" s="1005" t="s">
        <v>1551</v>
      </c>
      <c r="H42" s="999"/>
    </row>
    <row r="43" spans="1:9" ht="28">
      <c r="A43" s="1002"/>
      <c r="B43" s="1006" t="s">
        <v>1552</v>
      </c>
      <c r="C43" s="1004" t="s">
        <v>1515</v>
      </c>
      <c r="D43" s="1004">
        <v>2</v>
      </c>
      <c r="E43" s="1005">
        <v>100000</v>
      </c>
      <c r="F43" s="993">
        <f t="shared" si="2"/>
        <v>200000</v>
      </c>
      <c r="G43" s="1005" t="s">
        <v>1498</v>
      </c>
      <c r="H43" s="999"/>
    </row>
    <row r="44" spans="1:9" ht="14">
      <c r="A44" s="1002"/>
      <c r="B44" s="1006" t="s">
        <v>1553</v>
      </c>
      <c r="C44" s="1004" t="s">
        <v>1554</v>
      </c>
      <c r="D44" s="1004">
        <v>2</v>
      </c>
      <c r="E44" s="1005">
        <v>100000</v>
      </c>
      <c r="F44" s="993">
        <f t="shared" si="2"/>
        <v>200000</v>
      </c>
      <c r="G44" s="1005" t="s">
        <v>1430</v>
      </c>
      <c r="H44" s="999"/>
    </row>
    <row r="45" spans="1:9" s="1011" customFormat="1" ht="25.5" customHeight="1">
      <c r="A45" s="1002" t="s">
        <v>24</v>
      </c>
      <c r="B45" s="1008" t="s">
        <v>1516</v>
      </c>
      <c r="C45" s="1004"/>
      <c r="D45" s="1004"/>
      <c r="E45" s="1005"/>
      <c r="F45" s="1009">
        <f>F15-F17</f>
        <v>2140000</v>
      </c>
      <c r="G45" s="1010"/>
      <c r="H45" s="1031"/>
    </row>
    <row r="46" spans="1:9" s="1011" customFormat="1" ht="14">
      <c r="A46" s="997"/>
      <c r="B46" s="1012" t="s">
        <v>1517</v>
      </c>
      <c r="C46" s="991"/>
      <c r="D46" s="997"/>
      <c r="E46" s="993"/>
      <c r="F46" s="984">
        <f>F17</f>
        <v>7860000</v>
      </c>
      <c r="G46" s="1013"/>
      <c r="H46" s="1033"/>
    </row>
    <row r="47" spans="1:9">
      <c r="B47" s="1014" t="s">
        <v>1570</v>
      </c>
      <c r="G47" s="949" t="s">
        <v>1521</v>
      </c>
      <c r="I47" s="1017"/>
    </row>
    <row r="48" spans="1:9" s="1019" customFormat="1" ht="15" customHeight="1">
      <c r="A48" s="1018"/>
      <c r="B48" s="947" t="s">
        <v>1219</v>
      </c>
      <c r="C48" s="633"/>
      <c r="D48" s="1014"/>
      <c r="E48" s="2013" t="s">
        <v>1518</v>
      </c>
      <c r="F48" s="2013"/>
      <c r="H48" s="1018" t="s">
        <v>1221</v>
      </c>
    </row>
    <row r="49" spans="1:9" s="1019" customFormat="1" ht="13" customHeight="1">
      <c r="A49" s="633"/>
      <c r="C49" s="947"/>
      <c r="E49" s="1018"/>
    </row>
    <row r="50" spans="1:9" s="1019" customFormat="1" ht="14">
      <c r="A50" s="633"/>
      <c r="B50" s="1014"/>
      <c r="D50" s="1018"/>
      <c r="E50" s="1018"/>
      <c r="F50" s="1018"/>
    </row>
    <row r="51" spans="1:9" s="1019" customFormat="1">
      <c r="A51" s="1018"/>
      <c r="B51" s="1014"/>
      <c r="C51" s="947"/>
      <c r="D51" s="1018"/>
      <c r="E51" s="1020"/>
      <c r="F51" s="948"/>
      <c r="G51" s="946"/>
      <c r="H51" s="1018"/>
    </row>
    <row r="52" spans="1:9" s="1019" customFormat="1" ht="17">
      <c r="A52" s="1018"/>
      <c r="B52" s="1014"/>
      <c r="C52" s="947"/>
      <c r="D52" s="1952"/>
      <c r="E52" s="1952"/>
      <c r="F52" s="1021"/>
      <c r="G52" s="1022"/>
      <c r="H52" s="1023"/>
      <c r="I52" s="1022"/>
    </row>
    <row r="53" spans="1:9" s="623" customFormat="1">
      <c r="A53" s="1024"/>
      <c r="B53" s="945"/>
      <c r="C53" s="944"/>
      <c r="D53" s="1024"/>
      <c r="E53" s="2009" t="s">
        <v>1454</v>
      </c>
      <c r="F53" s="2009"/>
      <c r="G53" s="943"/>
      <c r="H53" s="947" t="s">
        <v>291</v>
      </c>
    </row>
    <row r="54" spans="1:9" ht="19.5" customHeight="1">
      <c r="B54" s="1025" t="s">
        <v>1519</v>
      </c>
      <c r="E54" s="2009" t="s">
        <v>1218</v>
      </c>
      <c r="F54" s="2009"/>
      <c r="G54" s="1019"/>
    </row>
    <row r="56" spans="1:9" s="1016" customFormat="1" ht="15" customHeight="1">
      <c r="A56" s="980"/>
      <c r="B56" s="981"/>
      <c r="C56" s="628"/>
      <c r="D56" s="980"/>
      <c r="E56" s="1015"/>
      <c r="G56" s="599"/>
      <c r="H56" s="623"/>
      <c r="I56" s="669"/>
    </row>
    <row r="58" spans="1:9" s="1016" customFormat="1">
      <c r="A58" s="980"/>
      <c r="B58" s="981"/>
      <c r="C58" s="1026"/>
      <c r="D58" s="2010"/>
      <c r="E58" s="2010"/>
      <c r="G58" s="599"/>
      <c r="H58" s="623"/>
      <c r="I58" s="669"/>
    </row>
  </sheetData>
  <mergeCells count="10">
    <mergeCell ref="D52:E52"/>
    <mergeCell ref="E53:F53"/>
    <mergeCell ref="E54:F54"/>
    <mergeCell ref="D58:E58"/>
    <mergeCell ref="A1:B1"/>
    <mergeCell ref="C1:G1"/>
    <mergeCell ref="C2:G2"/>
    <mergeCell ref="A4:H4"/>
    <mergeCell ref="A5:H5"/>
    <mergeCell ref="E48:F48"/>
  </mergeCells>
  <pageMargins left="0.7" right="0.43" top="0.98" bottom="0.75" header="0.3" footer="0.3"/>
  <pageSetup paperSize="9" scale="9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42"/>
  <sheetViews>
    <sheetView view="pageBreakPreview" zoomScaleNormal="100" zoomScaleSheetLayoutView="100" workbookViewId="0">
      <selection activeCell="G2" sqref="G2"/>
    </sheetView>
  </sheetViews>
  <sheetFormatPr baseColWidth="10" defaultColWidth="10.83203125" defaultRowHeight="13"/>
  <cols>
    <col min="1" max="1" width="5.6640625" customWidth="1"/>
    <col min="2" max="2" width="37.83203125" customWidth="1"/>
    <col min="3" max="4" width="9.1640625" customWidth="1"/>
    <col min="5" max="5" width="11.5" customWidth="1"/>
    <col min="6" max="6" width="15.5" customWidth="1"/>
    <col min="7" max="7" width="41.83203125" customWidth="1"/>
    <col min="8" max="256" width="8.83203125" customWidth="1"/>
    <col min="257" max="257" width="5.6640625" customWidth="1"/>
    <col min="258" max="258" width="34.5" customWidth="1"/>
    <col min="259" max="260" width="9.1640625" customWidth="1"/>
    <col min="261" max="261" width="11.5" customWidth="1"/>
    <col min="262" max="262" width="15.5" customWidth="1"/>
    <col min="263" max="263" width="41.83203125" customWidth="1"/>
    <col min="264" max="512" width="8.83203125" customWidth="1"/>
    <col min="513" max="513" width="5.6640625" customWidth="1"/>
    <col min="514" max="514" width="34.5" customWidth="1"/>
    <col min="515" max="516" width="9.1640625" customWidth="1"/>
    <col min="517" max="517" width="11.5" customWidth="1"/>
    <col min="518" max="518" width="15.5" customWidth="1"/>
    <col min="519" max="519" width="41.83203125" customWidth="1"/>
    <col min="520" max="768" width="8.83203125" customWidth="1"/>
    <col min="769" max="769" width="5.6640625" customWidth="1"/>
    <col min="770" max="770" width="34.5" customWidth="1"/>
    <col min="771" max="772" width="9.1640625" customWidth="1"/>
    <col min="773" max="773" width="11.5" customWidth="1"/>
    <col min="774" max="774" width="15.5" customWidth="1"/>
    <col min="775" max="775" width="41.83203125" customWidth="1"/>
    <col min="776" max="1024" width="8.83203125" customWidth="1"/>
    <col min="1025" max="1025" width="5.6640625" customWidth="1"/>
    <col min="1026" max="1026" width="34.5" customWidth="1"/>
    <col min="1027" max="1028" width="9.1640625" customWidth="1"/>
    <col min="1029" max="1029" width="11.5" customWidth="1"/>
    <col min="1030" max="1030" width="15.5" customWidth="1"/>
    <col min="1031" max="1031" width="41.83203125" customWidth="1"/>
    <col min="1032" max="1280" width="8.83203125" customWidth="1"/>
    <col min="1281" max="1281" width="5.6640625" customWidth="1"/>
    <col min="1282" max="1282" width="34.5" customWidth="1"/>
    <col min="1283" max="1284" width="9.1640625" customWidth="1"/>
    <col min="1285" max="1285" width="11.5" customWidth="1"/>
    <col min="1286" max="1286" width="15.5" customWidth="1"/>
    <col min="1287" max="1287" width="41.83203125" customWidth="1"/>
    <col min="1288" max="1536" width="8.83203125" customWidth="1"/>
    <col min="1537" max="1537" width="5.6640625" customWidth="1"/>
    <col min="1538" max="1538" width="34.5" customWidth="1"/>
    <col min="1539" max="1540" width="9.1640625" customWidth="1"/>
    <col min="1541" max="1541" width="11.5" customWidth="1"/>
    <col min="1542" max="1542" width="15.5" customWidth="1"/>
    <col min="1543" max="1543" width="41.83203125" customWidth="1"/>
    <col min="1544" max="1792" width="8.83203125" customWidth="1"/>
    <col min="1793" max="1793" width="5.6640625" customWidth="1"/>
    <col min="1794" max="1794" width="34.5" customWidth="1"/>
    <col min="1795" max="1796" width="9.1640625" customWidth="1"/>
    <col min="1797" max="1797" width="11.5" customWidth="1"/>
    <col min="1798" max="1798" width="15.5" customWidth="1"/>
    <col min="1799" max="1799" width="41.83203125" customWidth="1"/>
    <col min="1800" max="2048" width="8.83203125" customWidth="1"/>
    <col min="2049" max="2049" width="5.6640625" customWidth="1"/>
    <col min="2050" max="2050" width="34.5" customWidth="1"/>
    <col min="2051" max="2052" width="9.1640625" customWidth="1"/>
    <col min="2053" max="2053" width="11.5" customWidth="1"/>
    <col min="2054" max="2054" width="15.5" customWidth="1"/>
    <col min="2055" max="2055" width="41.83203125" customWidth="1"/>
    <col min="2056" max="2304" width="8.83203125" customWidth="1"/>
    <col min="2305" max="2305" width="5.6640625" customWidth="1"/>
    <col min="2306" max="2306" width="34.5" customWidth="1"/>
    <col min="2307" max="2308" width="9.1640625" customWidth="1"/>
    <col min="2309" max="2309" width="11.5" customWidth="1"/>
    <col min="2310" max="2310" width="15.5" customWidth="1"/>
    <col min="2311" max="2311" width="41.83203125" customWidth="1"/>
    <col min="2312" max="2560" width="8.83203125" customWidth="1"/>
    <col min="2561" max="2561" width="5.6640625" customWidth="1"/>
    <col min="2562" max="2562" width="34.5" customWidth="1"/>
    <col min="2563" max="2564" width="9.1640625" customWidth="1"/>
    <col min="2565" max="2565" width="11.5" customWidth="1"/>
    <col min="2566" max="2566" width="15.5" customWidth="1"/>
    <col min="2567" max="2567" width="41.83203125" customWidth="1"/>
    <col min="2568" max="2816" width="8.83203125" customWidth="1"/>
    <col min="2817" max="2817" width="5.6640625" customWidth="1"/>
    <col min="2818" max="2818" width="34.5" customWidth="1"/>
    <col min="2819" max="2820" width="9.1640625" customWidth="1"/>
    <col min="2821" max="2821" width="11.5" customWidth="1"/>
    <col min="2822" max="2822" width="15.5" customWidth="1"/>
    <col min="2823" max="2823" width="41.83203125" customWidth="1"/>
    <col min="2824" max="3072" width="8.83203125" customWidth="1"/>
    <col min="3073" max="3073" width="5.6640625" customWidth="1"/>
    <col min="3074" max="3074" width="34.5" customWidth="1"/>
    <col min="3075" max="3076" width="9.1640625" customWidth="1"/>
    <col min="3077" max="3077" width="11.5" customWidth="1"/>
    <col min="3078" max="3078" width="15.5" customWidth="1"/>
    <col min="3079" max="3079" width="41.83203125" customWidth="1"/>
    <col min="3080" max="3328" width="8.83203125" customWidth="1"/>
    <col min="3329" max="3329" width="5.6640625" customWidth="1"/>
    <col min="3330" max="3330" width="34.5" customWidth="1"/>
    <col min="3331" max="3332" width="9.1640625" customWidth="1"/>
    <col min="3333" max="3333" width="11.5" customWidth="1"/>
    <col min="3334" max="3334" width="15.5" customWidth="1"/>
    <col min="3335" max="3335" width="41.83203125" customWidth="1"/>
    <col min="3336" max="3584" width="8.83203125" customWidth="1"/>
    <col min="3585" max="3585" width="5.6640625" customWidth="1"/>
    <col min="3586" max="3586" width="34.5" customWidth="1"/>
    <col min="3587" max="3588" width="9.1640625" customWidth="1"/>
    <col min="3589" max="3589" width="11.5" customWidth="1"/>
    <col min="3590" max="3590" width="15.5" customWidth="1"/>
    <col min="3591" max="3591" width="41.83203125" customWidth="1"/>
    <col min="3592" max="3840" width="8.83203125" customWidth="1"/>
    <col min="3841" max="3841" width="5.6640625" customWidth="1"/>
    <col min="3842" max="3842" width="34.5" customWidth="1"/>
    <col min="3843" max="3844" width="9.1640625" customWidth="1"/>
    <col min="3845" max="3845" width="11.5" customWidth="1"/>
    <col min="3846" max="3846" width="15.5" customWidth="1"/>
    <col min="3847" max="3847" width="41.83203125" customWidth="1"/>
    <col min="3848" max="4096" width="8.83203125" customWidth="1"/>
    <col min="4097" max="4097" width="5.6640625" customWidth="1"/>
    <col min="4098" max="4098" width="34.5" customWidth="1"/>
    <col min="4099" max="4100" width="9.1640625" customWidth="1"/>
    <col min="4101" max="4101" width="11.5" customWidth="1"/>
    <col min="4102" max="4102" width="15.5" customWidth="1"/>
    <col min="4103" max="4103" width="41.83203125" customWidth="1"/>
    <col min="4104" max="4352" width="8.83203125" customWidth="1"/>
    <col min="4353" max="4353" width="5.6640625" customWidth="1"/>
    <col min="4354" max="4354" width="34.5" customWidth="1"/>
    <col min="4355" max="4356" width="9.1640625" customWidth="1"/>
    <col min="4357" max="4357" width="11.5" customWidth="1"/>
    <col min="4358" max="4358" width="15.5" customWidth="1"/>
    <col min="4359" max="4359" width="41.83203125" customWidth="1"/>
    <col min="4360" max="4608" width="8.83203125" customWidth="1"/>
    <col min="4609" max="4609" width="5.6640625" customWidth="1"/>
    <col min="4610" max="4610" width="34.5" customWidth="1"/>
    <col min="4611" max="4612" width="9.1640625" customWidth="1"/>
    <col min="4613" max="4613" width="11.5" customWidth="1"/>
    <col min="4614" max="4614" width="15.5" customWidth="1"/>
    <col min="4615" max="4615" width="41.83203125" customWidth="1"/>
    <col min="4616" max="4864" width="8.83203125" customWidth="1"/>
    <col min="4865" max="4865" width="5.6640625" customWidth="1"/>
    <col min="4866" max="4866" width="34.5" customWidth="1"/>
    <col min="4867" max="4868" width="9.1640625" customWidth="1"/>
    <col min="4869" max="4869" width="11.5" customWidth="1"/>
    <col min="4870" max="4870" width="15.5" customWidth="1"/>
    <col min="4871" max="4871" width="41.83203125" customWidth="1"/>
    <col min="4872" max="5120" width="8.83203125" customWidth="1"/>
    <col min="5121" max="5121" width="5.6640625" customWidth="1"/>
    <col min="5122" max="5122" width="34.5" customWidth="1"/>
    <col min="5123" max="5124" width="9.1640625" customWidth="1"/>
    <col min="5125" max="5125" width="11.5" customWidth="1"/>
    <col min="5126" max="5126" width="15.5" customWidth="1"/>
    <col min="5127" max="5127" width="41.83203125" customWidth="1"/>
    <col min="5128" max="5376" width="8.83203125" customWidth="1"/>
    <col min="5377" max="5377" width="5.6640625" customWidth="1"/>
    <col min="5378" max="5378" width="34.5" customWidth="1"/>
    <col min="5379" max="5380" width="9.1640625" customWidth="1"/>
    <col min="5381" max="5381" width="11.5" customWidth="1"/>
    <col min="5382" max="5382" width="15.5" customWidth="1"/>
    <col min="5383" max="5383" width="41.83203125" customWidth="1"/>
    <col min="5384" max="5632" width="8.83203125" customWidth="1"/>
    <col min="5633" max="5633" width="5.6640625" customWidth="1"/>
    <col min="5634" max="5634" width="34.5" customWidth="1"/>
    <col min="5635" max="5636" width="9.1640625" customWidth="1"/>
    <col min="5637" max="5637" width="11.5" customWidth="1"/>
    <col min="5638" max="5638" width="15.5" customWidth="1"/>
    <col min="5639" max="5639" width="41.83203125" customWidth="1"/>
    <col min="5640" max="5888" width="8.83203125" customWidth="1"/>
    <col min="5889" max="5889" width="5.6640625" customWidth="1"/>
    <col min="5890" max="5890" width="34.5" customWidth="1"/>
    <col min="5891" max="5892" width="9.1640625" customWidth="1"/>
    <col min="5893" max="5893" width="11.5" customWidth="1"/>
    <col min="5894" max="5894" width="15.5" customWidth="1"/>
    <col min="5895" max="5895" width="41.83203125" customWidth="1"/>
    <col min="5896" max="6144" width="8.83203125" customWidth="1"/>
    <col min="6145" max="6145" width="5.6640625" customWidth="1"/>
    <col min="6146" max="6146" width="34.5" customWidth="1"/>
    <col min="6147" max="6148" width="9.1640625" customWidth="1"/>
    <col min="6149" max="6149" width="11.5" customWidth="1"/>
    <col min="6150" max="6150" width="15.5" customWidth="1"/>
    <col min="6151" max="6151" width="41.83203125" customWidth="1"/>
    <col min="6152" max="6400" width="8.83203125" customWidth="1"/>
    <col min="6401" max="6401" width="5.6640625" customWidth="1"/>
    <col min="6402" max="6402" width="34.5" customWidth="1"/>
    <col min="6403" max="6404" width="9.1640625" customWidth="1"/>
    <col min="6405" max="6405" width="11.5" customWidth="1"/>
    <col min="6406" max="6406" width="15.5" customWidth="1"/>
    <col min="6407" max="6407" width="41.83203125" customWidth="1"/>
    <col min="6408" max="6656" width="8.83203125" customWidth="1"/>
    <col min="6657" max="6657" width="5.6640625" customWidth="1"/>
    <col min="6658" max="6658" width="34.5" customWidth="1"/>
    <col min="6659" max="6660" width="9.1640625" customWidth="1"/>
    <col min="6661" max="6661" width="11.5" customWidth="1"/>
    <col min="6662" max="6662" width="15.5" customWidth="1"/>
    <col min="6663" max="6663" width="41.83203125" customWidth="1"/>
    <col min="6664" max="6912" width="8.83203125" customWidth="1"/>
    <col min="6913" max="6913" width="5.6640625" customWidth="1"/>
    <col min="6914" max="6914" width="34.5" customWidth="1"/>
    <col min="6915" max="6916" width="9.1640625" customWidth="1"/>
    <col min="6917" max="6917" width="11.5" customWidth="1"/>
    <col min="6918" max="6918" width="15.5" customWidth="1"/>
    <col min="6919" max="6919" width="41.83203125" customWidth="1"/>
    <col min="6920" max="7168" width="8.83203125" customWidth="1"/>
    <col min="7169" max="7169" width="5.6640625" customWidth="1"/>
    <col min="7170" max="7170" width="34.5" customWidth="1"/>
    <col min="7171" max="7172" width="9.1640625" customWidth="1"/>
    <col min="7173" max="7173" width="11.5" customWidth="1"/>
    <col min="7174" max="7174" width="15.5" customWidth="1"/>
    <col min="7175" max="7175" width="41.83203125" customWidth="1"/>
    <col min="7176" max="7424" width="8.83203125" customWidth="1"/>
    <col min="7425" max="7425" width="5.6640625" customWidth="1"/>
    <col min="7426" max="7426" width="34.5" customWidth="1"/>
    <col min="7427" max="7428" width="9.1640625" customWidth="1"/>
    <col min="7429" max="7429" width="11.5" customWidth="1"/>
    <col min="7430" max="7430" width="15.5" customWidth="1"/>
    <col min="7431" max="7431" width="41.83203125" customWidth="1"/>
    <col min="7432" max="7680" width="8.83203125" customWidth="1"/>
    <col min="7681" max="7681" width="5.6640625" customWidth="1"/>
    <col min="7682" max="7682" width="34.5" customWidth="1"/>
    <col min="7683" max="7684" width="9.1640625" customWidth="1"/>
    <col min="7685" max="7685" width="11.5" customWidth="1"/>
    <col min="7686" max="7686" width="15.5" customWidth="1"/>
    <col min="7687" max="7687" width="41.83203125" customWidth="1"/>
    <col min="7688" max="7936" width="8.83203125" customWidth="1"/>
    <col min="7937" max="7937" width="5.6640625" customWidth="1"/>
    <col min="7938" max="7938" width="34.5" customWidth="1"/>
    <col min="7939" max="7940" width="9.1640625" customWidth="1"/>
    <col min="7941" max="7941" width="11.5" customWidth="1"/>
    <col min="7942" max="7942" width="15.5" customWidth="1"/>
    <col min="7943" max="7943" width="41.83203125" customWidth="1"/>
    <col min="7944" max="8192" width="8.83203125" customWidth="1"/>
    <col min="8193" max="8193" width="5.6640625" customWidth="1"/>
    <col min="8194" max="8194" width="34.5" customWidth="1"/>
    <col min="8195" max="8196" width="9.1640625" customWidth="1"/>
    <col min="8197" max="8197" width="11.5" customWidth="1"/>
    <col min="8198" max="8198" width="15.5" customWidth="1"/>
    <col min="8199" max="8199" width="41.83203125" customWidth="1"/>
    <col min="8200" max="8448" width="8.83203125" customWidth="1"/>
    <col min="8449" max="8449" width="5.6640625" customWidth="1"/>
    <col min="8450" max="8450" width="34.5" customWidth="1"/>
    <col min="8451" max="8452" width="9.1640625" customWidth="1"/>
    <col min="8453" max="8453" width="11.5" customWidth="1"/>
    <col min="8454" max="8454" width="15.5" customWidth="1"/>
    <col min="8455" max="8455" width="41.83203125" customWidth="1"/>
    <col min="8456" max="8704" width="8.83203125" customWidth="1"/>
    <col min="8705" max="8705" width="5.6640625" customWidth="1"/>
    <col min="8706" max="8706" width="34.5" customWidth="1"/>
    <col min="8707" max="8708" width="9.1640625" customWidth="1"/>
    <col min="8709" max="8709" width="11.5" customWidth="1"/>
    <col min="8710" max="8710" width="15.5" customWidth="1"/>
    <col min="8711" max="8711" width="41.83203125" customWidth="1"/>
    <col min="8712" max="8960" width="8.83203125" customWidth="1"/>
    <col min="8961" max="8961" width="5.6640625" customWidth="1"/>
    <col min="8962" max="8962" width="34.5" customWidth="1"/>
    <col min="8963" max="8964" width="9.1640625" customWidth="1"/>
    <col min="8965" max="8965" width="11.5" customWidth="1"/>
    <col min="8966" max="8966" width="15.5" customWidth="1"/>
    <col min="8967" max="8967" width="41.83203125" customWidth="1"/>
    <col min="8968" max="9216" width="8.83203125" customWidth="1"/>
    <col min="9217" max="9217" width="5.6640625" customWidth="1"/>
    <col min="9218" max="9218" width="34.5" customWidth="1"/>
    <col min="9219" max="9220" width="9.1640625" customWidth="1"/>
    <col min="9221" max="9221" width="11.5" customWidth="1"/>
    <col min="9222" max="9222" width="15.5" customWidth="1"/>
    <col min="9223" max="9223" width="41.83203125" customWidth="1"/>
    <col min="9224" max="9472" width="8.83203125" customWidth="1"/>
    <col min="9473" max="9473" width="5.6640625" customWidth="1"/>
    <col min="9474" max="9474" width="34.5" customWidth="1"/>
    <col min="9475" max="9476" width="9.1640625" customWidth="1"/>
    <col min="9477" max="9477" width="11.5" customWidth="1"/>
    <col min="9478" max="9478" width="15.5" customWidth="1"/>
    <col min="9479" max="9479" width="41.83203125" customWidth="1"/>
    <col min="9480" max="9728" width="8.83203125" customWidth="1"/>
    <col min="9729" max="9729" width="5.6640625" customWidth="1"/>
    <col min="9730" max="9730" width="34.5" customWidth="1"/>
    <col min="9731" max="9732" width="9.1640625" customWidth="1"/>
    <col min="9733" max="9733" width="11.5" customWidth="1"/>
    <col min="9734" max="9734" width="15.5" customWidth="1"/>
    <col min="9735" max="9735" width="41.83203125" customWidth="1"/>
    <col min="9736" max="9984" width="8.83203125" customWidth="1"/>
    <col min="9985" max="9985" width="5.6640625" customWidth="1"/>
    <col min="9986" max="9986" width="34.5" customWidth="1"/>
    <col min="9987" max="9988" width="9.1640625" customWidth="1"/>
    <col min="9989" max="9989" width="11.5" customWidth="1"/>
    <col min="9990" max="9990" width="15.5" customWidth="1"/>
    <col min="9991" max="9991" width="41.83203125" customWidth="1"/>
    <col min="9992" max="10240" width="8.83203125" customWidth="1"/>
    <col min="10241" max="10241" width="5.6640625" customWidth="1"/>
    <col min="10242" max="10242" width="34.5" customWidth="1"/>
    <col min="10243" max="10244" width="9.1640625" customWidth="1"/>
    <col min="10245" max="10245" width="11.5" customWidth="1"/>
    <col min="10246" max="10246" width="15.5" customWidth="1"/>
    <col min="10247" max="10247" width="41.83203125" customWidth="1"/>
    <col min="10248" max="10496" width="8.83203125" customWidth="1"/>
    <col min="10497" max="10497" width="5.6640625" customWidth="1"/>
    <col min="10498" max="10498" width="34.5" customWidth="1"/>
    <col min="10499" max="10500" width="9.1640625" customWidth="1"/>
    <col min="10501" max="10501" width="11.5" customWidth="1"/>
    <col min="10502" max="10502" width="15.5" customWidth="1"/>
    <col min="10503" max="10503" width="41.83203125" customWidth="1"/>
    <col min="10504" max="10752" width="8.83203125" customWidth="1"/>
    <col min="10753" max="10753" width="5.6640625" customWidth="1"/>
    <col min="10754" max="10754" width="34.5" customWidth="1"/>
    <col min="10755" max="10756" width="9.1640625" customWidth="1"/>
    <col min="10757" max="10757" width="11.5" customWidth="1"/>
    <col min="10758" max="10758" width="15.5" customWidth="1"/>
    <col min="10759" max="10759" width="41.83203125" customWidth="1"/>
    <col min="10760" max="11008" width="8.83203125" customWidth="1"/>
    <col min="11009" max="11009" width="5.6640625" customWidth="1"/>
    <col min="11010" max="11010" width="34.5" customWidth="1"/>
    <col min="11011" max="11012" width="9.1640625" customWidth="1"/>
    <col min="11013" max="11013" width="11.5" customWidth="1"/>
    <col min="11014" max="11014" width="15.5" customWidth="1"/>
    <col min="11015" max="11015" width="41.83203125" customWidth="1"/>
    <col min="11016" max="11264" width="8.83203125" customWidth="1"/>
    <col min="11265" max="11265" width="5.6640625" customWidth="1"/>
    <col min="11266" max="11266" width="34.5" customWidth="1"/>
    <col min="11267" max="11268" width="9.1640625" customWidth="1"/>
    <col min="11269" max="11269" width="11.5" customWidth="1"/>
    <col min="11270" max="11270" width="15.5" customWidth="1"/>
    <col min="11271" max="11271" width="41.83203125" customWidth="1"/>
    <col min="11272" max="11520" width="8.83203125" customWidth="1"/>
    <col min="11521" max="11521" width="5.6640625" customWidth="1"/>
    <col min="11522" max="11522" width="34.5" customWidth="1"/>
    <col min="11523" max="11524" width="9.1640625" customWidth="1"/>
    <col min="11525" max="11525" width="11.5" customWidth="1"/>
    <col min="11526" max="11526" width="15.5" customWidth="1"/>
    <col min="11527" max="11527" width="41.83203125" customWidth="1"/>
    <col min="11528" max="11776" width="8.83203125" customWidth="1"/>
    <col min="11777" max="11777" width="5.6640625" customWidth="1"/>
    <col min="11778" max="11778" width="34.5" customWidth="1"/>
    <col min="11779" max="11780" width="9.1640625" customWidth="1"/>
    <col min="11781" max="11781" width="11.5" customWidth="1"/>
    <col min="11782" max="11782" width="15.5" customWidth="1"/>
    <col min="11783" max="11783" width="41.83203125" customWidth="1"/>
    <col min="11784" max="12032" width="8.83203125" customWidth="1"/>
    <col min="12033" max="12033" width="5.6640625" customWidth="1"/>
    <col min="12034" max="12034" width="34.5" customWidth="1"/>
    <col min="12035" max="12036" width="9.1640625" customWidth="1"/>
    <col min="12037" max="12037" width="11.5" customWidth="1"/>
    <col min="12038" max="12038" width="15.5" customWidth="1"/>
    <col min="12039" max="12039" width="41.83203125" customWidth="1"/>
    <col min="12040" max="12288" width="8.83203125" customWidth="1"/>
    <col min="12289" max="12289" width="5.6640625" customWidth="1"/>
    <col min="12290" max="12290" width="34.5" customWidth="1"/>
    <col min="12291" max="12292" width="9.1640625" customWidth="1"/>
    <col min="12293" max="12293" width="11.5" customWidth="1"/>
    <col min="12294" max="12294" width="15.5" customWidth="1"/>
    <col min="12295" max="12295" width="41.83203125" customWidth="1"/>
    <col min="12296" max="12544" width="8.83203125" customWidth="1"/>
    <col min="12545" max="12545" width="5.6640625" customWidth="1"/>
    <col min="12546" max="12546" width="34.5" customWidth="1"/>
    <col min="12547" max="12548" width="9.1640625" customWidth="1"/>
    <col min="12549" max="12549" width="11.5" customWidth="1"/>
    <col min="12550" max="12550" width="15.5" customWidth="1"/>
    <col min="12551" max="12551" width="41.83203125" customWidth="1"/>
    <col min="12552" max="12800" width="8.83203125" customWidth="1"/>
    <col min="12801" max="12801" width="5.6640625" customWidth="1"/>
    <col min="12802" max="12802" width="34.5" customWidth="1"/>
    <col min="12803" max="12804" width="9.1640625" customWidth="1"/>
    <col min="12805" max="12805" width="11.5" customWidth="1"/>
    <col min="12806" max="12806" width="15.5" customWidth="1"/>
    <col min="12807" max="12807" width="41.83203125" customWidth="1"/>
    <col min="12808" max="13056" width="8.83203125" customWidth="1"/>
    <col min="13057" max="13057" width="5.6640625" customWidth="1"/>
    <col min="13058" max="13058" width="34.5" customWidth="1"/>
    <col min="13059" max="13060" width="9.1640625" customWidth="1"/>
    <col min="13061" max="13061" width="11.5" customWidth="1"/>
    <col min="13062" max="13062" width="15.5" customWidth="1"/>
    <col min="13063" max="13063" width="41.83203125" customWidth="1"/>
    <col min="13064" max="13312" width="8.83203125" customWidth="1"/>
    <col min="13313" max="13313" width="5.6640625" customWidth="1"/>
    <col min="13314" max="13314" width="34.5" customWidth="1"/>
    <col min="13315" max="13316" width="9.1640625" customWidth="1"/>
    <col min="13317" max="13317" width="11.5" customWidth="1"/>
    <col min="13318" max="13318" width="15.5" customWidth="1"/>
    <col min="13319" max="13319" width="41.83203125" customWidth="1"/>
    <col min="13320" max="13568" width="8.83203125" customWidth="1"/>
    <col min="13569" max="13569" width="5.6640625" customWidth="1"/>
    <col min="13570" max="13570" width="34.5" customWidth="1"/>
    <col min="13571" max="13572" width="9.1640625" customWidth="1"/>
    <col min="13573" max="13573" width="11.5" customWidth="1"/>
    <col min="13574" max="13574" width="15.5" customWidth="1"/>
    <col min="13575" max="13575" width="41.83203125" customWidth="1"/>
    <col min="13576" max="13824" width="8.83203125" customWidth="1"/>
    <col min="13825" max="13825" width="5.6640625" customWidth="1"/>
    <col min="13826" max="13826" width="34.5" customWidth="1"/>
    <col min="13827" max="13828" width="9.1640625" customWidth="1"/>
    <col min="13829" max="13829" width="11.5" customWidth="1"/>
    <col min="13830" max="13830" width="15.5" customWidth="1"/>
    <col min="13831" max="13831" width="41.83203125" customWidth="1"/>
    <col min="13832" max="14080" width="8.83203125" customWidth="1"/>
    <col min="14081" max="14081" width="5.6640625" customWidth="1"/>
    <col min="14082" max="14082" width="34.5" customWidth="1"/>
    <col min="14083" max="14084" width="9.1640625" customWidth="1"/>
    <col min="14085" max="14085" width="11.5" customWidth="1"/>
    <col min="14086" max="14086" width="15.5" customWidth="1"/>
    <col min="14087" max="14087" width="41.83203125" customWidth="1"/>
    <col min="14088" max="14336" width="8.83203125" customWidth="1"/>
    <col min="14337" max="14337" width="5.6640625" customWidth="1"/>
    <col min="14338" max="14338" width="34.5" customWidth="1"/>
    <col min="14339" max="14340" width="9.1640625" customWidth="1"/>
    <col min="14341" max="14341" width="11.5" customWidth="1"/>
    <col min="14342" max="14342" width="15.5" customWidth="1"/>
    <col min="14343" max="14343" width="41.83203125" customWidth="1"/>
    <col min="14344" max="14592" width="8.83203125" customWidth="1"/>
    <col min="14593" max="14593" width="5.6640625" customWidth="1"/>
    <col min="14594" max="14594" width="34.5" customWidth="1"/>
    <col min="14595" max="14596" width="9.1640625" customWidth="1"/>
    <col min="14597" max="14597" width="11.5" customWidth="1"/>
    <col min="14598" max="14598" width="15.5" customWidth="1"/>
    <col min="14599" max="14599" width="41.83203125" customWidth="1"/>
    <col min="14600" max="14848" width="8.83203125" customWidth="1"/>
    <col min="14849" max="14849" width="5.6640625" customWidth="1"/>
    <col min="14850" max="14850" width="34.5" customWidth="1"/>
    <col min="14851" max="14852" width="9.1640625" customWidth="1"/>
    <col min="14853" max="14853" width="11.5" customWidth="1"/>
    <col min="14854" max="14854" width="15.5" customWidth="1"/>
    <col min="14855" max="14855" width="41.83203125" customWidth="1"/>
    <col min="14856" max="15104" width="8.83203125" customWidth="1"/>
    <col min="15105" max="15105" width="5.6640625" customWidth="1"/>
    <col min="15106" max="15106" width="34.5" customWidth="1"/>
    <col min="15107" max="15108" width="9.1640625" customWidth="1"/>
    <col min="15109" max="15109" width="11.5" customWidth="1"/>
    <col min="15110" max="15110" width="15.5" customWidth="1"/>
    <col min="15111" max="15111" width="41.83203125" customWidth="1"/>
    <col min="15112" max="15360" width="8.83203125" customWidth="1"/>
    <col min="15361" max="15361" width="5.6640625" customWidth="1"/>
    <col min="15362" max="15362" width="34.5" customWidth="1"/>
    <col min="15363" max="15364" width="9.1640625" customWidth="1"/>
    <col min="15365" max="15365" width="11.5" customWidth="1"/>
    <col min="15366" max="15366" width="15.5" customWidth="1"/>
    <col min="15367" max="15367" width="41.83203125" customWidth="1"/>
    <col min="15368" max="15616" width="8.83203125" customWidth="1"/>
    <col min="15617" max="15617" width="5.6640625" customWidth="1"/>
    <col min="15618" max="15618" width="34.5" customWidth="1"/>
    <col min="15619" max="15620" width="9.1640625" customWidth="1"/>
    <col min="15621" max="15621" width="11.5" customWidth="1"/>
    <col min="15622" max="15622" width="15.5" customWidth="1"/>
    <col min="15623" max="15623" width="41.83203125" customWidth="1"/>
    <col min="15624" max="15872" width="8.83203125" customWidth="1"/>
    <col min="15873" max="15873" width="5.6640625" customWidth="1"/>
    <col min="15874" max="15874" width="34.5" customWidth="1"/>
    <col min="15875" max="15876" width="9.1640625" customWidth="1"/>
    <col min="15877" max="15877" width="11.5" customWidth="1"/>
    <col min="15878" max="15878" width="15.5" customWidth="1"/>
    <col min="15879" max="15879" width="41.83203125" customWidth="1"/>
    <col min="15880" max="16128" width="8.83203125" customWidth="1"/>
    <col min="16129" max="16129" width="5.6640625" customWidth="1"/>
    <col min="16130" max="16130" width="34.5" customWidth="1"/>
    <col min="16131" max="16132" width="9.1640625" customWidth="1"/>
    <col min="16133" max="16133" width="11.5" customWidth="1"/>
    <col min="16134" max="16134" width="15.5" customWidth="1"/>
    <col min="16135" max="16135" width="41.83203125" customWidth="1"/>
    <col min="16136" max="16384" width="8.83203125" customWidth="1"/>
  </cols>
  <sheetData>
    <row r="1" spans="1:9" ht="14">
      <c r="A1" s="2017" t="s">
        <v>954</v>
      </c>
      <c r="B1" s="2017"/>
      <c r="C1" s="2018" t="s">
        <v>955</v>
      </c>
      <c r="D1" s="2018"/>
      <c r="E1" s="2018"/>
      <c r="F1" s="2018"/>
      <c r="G1" s="623"/>
    </row>
    <row r="2" spans="1:9" ht="16">
      <c r="A2" s="2019" t="s">
        <v>134</v>
      </c>
      <c r="B2" s="2019"/>
      <c r="C2" s="2018" t="s">
        <v>956</v>
      </c>
      <c r="D2" s="2018"/>
      <c r="E2" s="2018"/>
      <c r="F2" s="2018"/>
      <c r="G2" s="1828" t="s">
        <v>1659</v>
      </c>
    </row>
    <row r="3" spans="1:9" ht="16">
      <c r="A3" s="624"/>
      <c r="B3" s="625"/>
      <c r="C3" s="624"/>
      <c r="D3" s="624"/>
      <c r="E3" s="626"/>
      <c r="F3" s="627"/>
      <c r="G3" s="623"/>
    </row>
    <row r="4" spans="1:9" ht="14">
      <c r="A4" s="2020" t="s">
        <v>1153</v>
      </c>
      <c r="B4" s="2020"/>
      <c r="C4" s="2020"/>
      <c r="D4" s="2020"/>
      <c r="E4" s="2020"/>
      <c r="F4" s="2020"/>
      <c r="G4" s="2020"/>
    </row>
    <row r="5" spans="1:9" ht="14">
      <c r="A5" s="2021" t="s">
        <v>1154</v>
      </c>
      <c r="B5" s="2021"/>
      <c r="C5" s="2021"/>
      <c r="D5" s="2021"/>
      <c r="E5" s="2021"/>
      <c r="F5" s="2021"/>
      <c r="G5" s="2021"/>
    </row>
    <row r="6" spans="1:9" s="78" customFormat="1" ht="30">
      <c r="A6" s="1541" t="s">
        <v>50</v>
      </c>
      <c r="B6" s="1542" t="s">
        <v>959</v>
      </c>
      <c r="C6" s="1542" t="s">
        <v>1</v>
      </c>
      <c r="D6" s="1542" t="s">
        <v>368</v>
      </c>
      <c r="E6" s="1543" t="s">
        <v>27</v>
      </c>
      <c r="F6" s="752" t="s">
        <v>960</v>
      </c>
      <c r="G6" s="1541" t="s">
        <v>2</v>
      </c>
    </row>
    <row r="7" spans="1:9" s="78" customFormat="1" ht="23" customHeight="1">
      <c r="A7" s="1542" t="s">
        <v>6</v>
      </c>
      <c r="B7" s="1544" t="s">
        <v>961</v>
      </c>
      <c r="C7" s="798"/>
      <c r="D7" s="798"/>
      <c r="E7" s="799"/>
      <c r="F7" s="1545"/>
      <c r="G7" s="797"/>
    </row>
    <row r="8" spans="1:9" s="78" customFormat="1" ht="23" customHeight="1">
      <c r="A8" s="798">
        <v>1</v>
      </c>
      <c r="B8" s="783" t="s">
        <v>962</v>
      </c>
      <c r="C8" s="798" t="s">
        <v>963</v>
      </c>
      <c r="D8" s="1546">
        <v>720</v>
      </c>
      <c r="E8" s="799">
        <v>50000</v>
      </c>
      <c r="F8" s="1545">
        <f>D8*E8</f>
        <v>36000000</v>
      </c>
      <c r="G8" s="796"/>
    </row>
    <row r="9" spans="1:9" s="78" customFormat="1" ht="23" customHeight="1">
      <c r="A9" s="1547">
        <v>2</v>
      </c>
      <c r="B9" s="783" t="s">
        <v>965</v>
      </c>
      <c r="C9" s="798" t="s">
        <v>963</v>
      </c>
      <c r="D9" s="798">
        <v>720</v>
      </c>
      <c r="E9" s="799">
        <v>50000</v>
      </c>
      <c r="F9" s="1545">
        <f>D9*E9</f>
        <v>36000000</v>
      </c>
      <c r="G9" s="796"/>
    </row>
    <row r="10" spans="1:9" s="78" customFormat="1" ht="23" customHeight="1">
      <c r="A10" s="1548" t="s">
        <v>7</v>
      </c>
      <c r="B10" s="1544" t="s">
        <v>967</v>
      </c>
      <c r="C10" s="798"/>
      <c r="D10" s="798"/>
      <c r="E10" s="799"/>
      <c r="F10" s="1545"/>
      <c r="G10" s="797"/>
      <c r="I10" s="82"/>
    </row>
    <row r="11" spans="1:9" s="78" customFormat="1" ht="23" customHeight="1">
      <c r="A11" s="798">
        <v>1</v>
      </c>
      <c r="B11" s="783" t="s">
        <v>968</v>
      </c>
      <c r="C11" s="798" t="s">
        <v>963</v>
      </c>
      <c r="D11" s="798">
        <v>5</v>
      </c>
      <c r="E11" s="799">
        <v>50000</v>
      </c>
      <c r="F11" s="1545">
        <f>D11*E11*8*8</f>
        <v>16000000</v>
      </c>
      <c r="G11" s="800"/>
    </row>
    <row r="12" spans="1:9" s="78" customFormat="1" ht="23" customHeight="1">
      <c r="A12" s="1541">
        <v>2</v>
      </c>
      <c r="B12" s="783" t="s">
        <v>970</v>
      </c>
      <c r="C12" s="798" t="s">
        <v>963</v>
      </c>
      <c r="D12" s="1546">
        <v>3</v>
      </c>
      <c r="E12" s="799">
        <v>50000</v>
      </c>
      <c r="F12" s="1545">
        <f>D12*E12*8*2*8</f>
        <v>19200000</v>
      </c>
      <c r="G12" s="800"/>
    </row>
    <row r="13" spans="1:9" s="78" customFormat="1" ht="23" customHeight="1">
      <c r="A13" s="798">
        <v>3</v>
      </c>
      <c r="B13" s="783" t="s">
        <v>1155</v>
      </c>
      <c r="C13" s="798" t="s">
        <v>963</v>
      </c>
      <c r="D13" s="798">
        <v>1</v>
      </c>
      <c r="E13" s="799">
        <v>50000</v>
      </c>
      <c r="F13" s="1545">
        <f>D13*E13*8</f>
        <v>400000</v>
      </c>
      <c r="G13" s="800"/>
    </row>
    <row r="14" spans="1:9" s="78" customFormat="1" ht="23" customHeight="1">
      <c r="A14" s="798">
        <v>4</v>
      </c>
      <c r="B14" s="783" t="s">
        <v>1156</v>
      </c>
      <c r="C14" s="798" t="s">
        <v>975</v>
      </c>
      <c r="D14" s="798">
        <v>8</v>
      </c>
      <c r="E14" s="799">
        <v>300000</v>
      </c>
      <c r="F14" s="1545">
        <f>D14*E14</f>
        <v>2400000</v>
      </c>
      <c r="G14" s="800"/>
    </row>
    <row r="15" spans="1:9" s="78" customFormat="1" ht="23" customHeight="1">
      <c r="A15" s="798">
        <v>5</v>
      </c>
      <c r="B15" s="783" t="s">
        <v>977</v>
      </c>
      <c r="C15" s="798" t="s">
        <v>365</v>
      </c>
      <c r="D15" s="1546">
        <v>2</v>
      </c>
      <c r="E15" s="799">
        <v>100000</v>
      </c>
      <c r="F15" s="1545">
        <f>D15*E15*8</f>
        <v>1600000</v>
      </c>
      <c r="G15" s="800"/>
    </row>
    <row r="16" spans="1:9" s="78" customFormat="1" ht="23" customHeight="1">
      <c r="A16" s="798">
        <v>6</v>
      </c>
      <c r="B16" s="783" t="s">
        <v>767</v>
      </c>
      <c r="C16" s="798" t="s">
        <v>975</v>
      </c>
      <c r="D16" s="798">
        <v>8</v>
      </c>
      <c r="E16" s="799">
        <v>200000</v>
      </c>
      <c r="F16" s="1545">
        <f>D16*E16</f>
        <v>1600000</v>
      </c>
      <c r="G16" s="800"/>
    </row>
    <row r="17" spans="1:7" s="78" customFormat="1" ht="23" customHeight="1">
      <c r="A17" s="798">
        <v>7</v>
      </c>
      <c r="B17" s="783" t="s">
        <v>980</v>
      </c>
      <c r="C17" s="798" t="s">
        <v>975</v>
      </c>
      <c r="D17" s="798">
        <v>8</v>
      </c>
      <c r="E17" s="799">
        <v>150000</v>
      </c>
      <c r="F17" s="1545">
        <f>D17*E17</f>
        <v>1200000</v>
      </c>
      <c r="G17" s="800"/>
    </row>
    <row r="18" spans="1:7" s="78" customFormat="1" ht="23" customHeight="1">
      <c r="A18" s="1541" t="s">
        <v>24</v>
      </c>
      <c r="B18" s="1544" t="s">
        <v>982</v>
      </c>
      <c r="C18" s="1549"/>
      <c r="D18" s="1549"/>
      <c r="E18" s="1550"/>
      <c r="F18" s="1545"/>
      <c r="G18" s="796"/>
    </row>
    <row r="19" spans="1:7" s="78" customFormat="1" ht="23" customHeight="1">
      <c r="A19" s="798">
        <v>1</v>
      </c>
      <c r="B19" s="783" t="s">
        <v>983</v>
      </c>
      <c r="C19" s="798" t="s">
        <v>975</v>
      </c>
      <c r="D19" s="798">
        <v>8</v>
      </c>
      <c r="E19" s="799">
        <v>200000</v>
      </c>
      <c r="F19" s="1545">
        <f t="shared" ref="F19:F29" si="0">D19*E19</f>
        <v>1600000</v>
      </c>
      <c r="G19" s="800"/>
    </row>
    <row r="20" spans="1:7" s="78" customFormat="1" ht="23" customHeight="1">
      <c r="A20" s="798">
        <v>2</v>
      </c>
      <c r="B20" s="783" t="s">
        <v>984</v>
      </c>
      <c r="C20" s="798" t="s">
        <v>985</v>
      </c>
      <c r="D20" s="798">
        <v>2</v>
      </c>
      <c r="E20" s="799">
        <v>300000</v>
      </c>
      <c r="F20" s="1545">
        <f t="shared" si="0"/>
        <v>600000</v>
      </c>
      <c r="G20" s="800"/>
    </row>
    <row r="21" spans="1:7" s="78" customFormat="1" ht="23" customHeight="1">
      <c r="A21" s="798" t="s">
        <v>35</v>
      </c>
      <c r="B21" s="1551" t="s">
        <v>987</v>
      </c>
      <c r="C21" s="1552"/>
      <c r="D21" s="798"/>
      <c r="E21" s="799"/>
      <c r="F21" s="1545"/>
      <c r="G21" s="800"/>
    </row>
    <row r="22" spans="1:7" s="78" customFormat="1" ht="23" customHeight="1">
      <c r="A22" s="798">
        <v>1</v>
      </c>
      <c r="B22" s="783" t="s">
        <v>988</v>
      </c>
      <c r="C22" s="798" t="s">
        <v>985</v>
      </c>
      <c r="D22" s="798">
        <v>180</v>
      </c>
      <c r="E22" s="799">
        <v>10000</v>
      </c>
      <c r="F22" s="1545">
        <f t="shared" si="0"/>
        <v>1800000</v>
      </c>
      <c r="G22" s="800"/>
    </row>
    <row r="23" spans="1:7" s="78" customFormat="1" ht="23" customHeight="1">
      <c r="A23" s="798">
        <v>2</v>
      </c>
      <c r="B23" s="783" t="s">
        <v>990</v>
      </c>
      <c r="C23" s="798"/>
      <c r="D23" s="798"/>
      <c r="E23" s="799"/>
      <c r="F23" s="1545"/>
      <c r="G23" s="800"/>
    </row>
    <row r="24" spans="1:7" s="78" customFormat="1" ht="23" customHeight="1">
      <c r="A24" s="798"/>
      <c r="B24" s="783" t="s">
        <v>991</v>
      </c>
      <c r="C24" s="798" t="s">
        <v>975</v>
      </c>
      <c r="D24" s="798">
        <v>8</v>
      </c>
      <c r="E24" s="799">
        <v>150000</v>
      </c>
      <c r="F24" s="1545">
        <f t="shared" si="0"/>
        <v>1200000</v>
      </c>
      <c r="G24" s="800"/>
    </row>
    <row r="25" spans="1:7" s="78" customFormat="1" ht="23" customHeight="1">
      <c r="A25" s="798"/>
      <c r="B25" s="783" t="s">
        <v>992</v>
      </c>
      <c r="C25" s="798" t="s">
        <v>975</v>
      </c>
      <c r="D25" s="798">
        <v>8</v>
      </c>
      <c r="E25" s="799">
        <v>100000</v>
      </c>
      <c r="F25" s="1545">
        <f t="shared" si="0"/>
        <v>800000</v>
      </c>
      <c r="G25" s="800"/>
    </row>
    <row r="26" spans="1:7" s="78" customFormat="1" ht="32.25" customHeight="1">
      <c r="A26" s="798" t="s">
        <v>563</v>
      </c>
      <c r="B26" s="1553" t="s">
        <v>994</v>
      </c>
      <c r="C26" s="1553"/>
      <c r="D26" s="1553"/>
      <c r="E26" s="1553"/>
      <c r="F26" s="1545"/>
      <c r="G26" s="1554"/>
    </row>
    <row r="27" spans="1:7" s="78" customFormat="1" ht="23" customHeight="1">
      <c r="A27" s="798">
        <v>1</v>
      </c>
      <c r="B27" s="1555" t="s">
        <v>995</v>
      </c>
      <c r="C27" s="798"/>
      <c r="D27" s="798"/>
      <c r="E27" s="799"/>
      <c r="F27" s="1545"/>
      <c r="G27" s="800"/>
    </row>
    <row r="28" spans="1:7" s="78" customFormat="1" ht="23" customHeight="1">
      <c r="A28" s="798"/>
      <c r="B28" s="783" t="s">
        <v>996</v>
      </c>
      <c r="C28" s="798" t="s">
        <v>997</v>
      </c>
      <c r="D28" s="798">
        <v>1</v>
      </c>
      <c r="E28" s="799">
        <v>500000</v>
      </c>
      <c r="F28" s="1545">
        <f t="shared" si="0"/>
        <v>500000</v>
      </c>
      <c r="G28" s="800"/>
    </row>
    <row r="29" spans="1:7" s="78" customFormat="1" ht="23" customHeight="1">
      <c r="A29" s="798"/>
      <c r="B29" s="783" t="s">
        <v>999</v>
      </c>
      <c r="C29" s="798" t="s">
        <v>1000</v>
      </c>
      <c r="D29" s="798">
        <v>8</v>
      </c>
      <c r="E29" s="799">
        <v>100000</v>
      </c>
      <c r="F29" s="1545">
        <f t="shared" si="0"/>
        <v>800000</v>
      </c>
      <c r="G29" s="800"/>
    </row>
    <row r="30" spans="1:7" s="78" customFormat="1" ht="23" customHeight="1">
      <c r="A30" s="798">
        <v>2</v>
      </c>
      <c r="B30" s="1555" t="s">
        <v>1002</v>
      </c>
      <c r="C30" s="798"/>
      <c r="D30" s="798"/>
      <c r="E30" s="799"/>
      <c r="F30" s="1545"/>
      <c r="G30" s="800"/>
    </row>
    <row r="31" spans="1:7" s="78" customFormat="1" ht="16">
      <c r="A31" s="798"/>
      <c r="B31" s="783"/>
      <c r="C31" s="798" t="s">
        <v>985</v>
      </c>
      <c r="D31" s="798">
        <v>22</v>
      </c>
      <c r="E31" s="799">
        <v>50000</v>
      </c>
      <c r="F31" s="1545">
        <f>D31*E31*5</f>
        <v>5500000</v>
      </c>
      <c r="G31" s="800"/>
    </row>
    <row r="32" spans="1:7" s="78" customFormat="1" ht="16">
      <c r="A32" s="798"/>
      <c r="B32" s="783"/>
      <c r="C32" s="798" t="s">
        <v>985</v>
      </c>
      <c r="D32" s="798">
        <v>22</v>
      </c>
      <c r="E32" s="799">
        <v>50000</v>
      </c>
      <c r="F32" s="1545">
        <f>D32*E32*5</f>
        <v>5500000</v>
      </c>
      <c r="G32" s="800"/>
    </row>
    <row r="33" spans="1:7" s="78" customFormat="1" ht="16">
      <c r="A33" s="798"/>
      <c r="B33" s="1556"/>
      <c r="C33" s="798" t="s">
        <v>997</v>
      </c>
      <c r="D33" s="1547">
        <v>1</v>
      </c>
      <c r="E33" s="1557">
        <v>500000</v>
      </c>
      <c r="F33" s="1545">
        <f>D33*E33*5</f>
        <v>2500000</v>
      </c>
      <c r="G33" s="800"/>
    </row>
    <row r="34" spans="1:7" s="78" customFormat="1" ht="16">
      <c r="A34" s="798"/>
      <c r="B34" s="1558" t="s">
        <v>13</v>
      </c>
      <c r="C34" s="798"/>
      <c r="D34" s="798"/>
      <c r="E34" s="799"/>
      <c r="F34" s="1559">
        <f>SUM(F8:F33)</f>
        <v>135200000</v>
      </c>
      <c r="G34" s="1560"/>
    </row>
    <row r="35" spans="1:7">
      <c r="F35" s="801"/>
      <c r="G35" s="802"/>
    </row>
    <row r="36" spans="1:7" ht="16">
      <c r="F36" s="2014" t="s">
        <v>1261</v>
      </c>
      <c r="G36" s="2014"/>
    </row>
    <row r="37" spans="1:7" ht="14">
      <c r="A37" s="628"/>
      <c r="B37" s="669"/>
      <c r="C37" s="628"/>
      <c r="D37" s="628"/>
      <c r="E37" s="623"/>
    </row>
    <row r="38" spans="1:7" ht="14">
      <c r="A38" s="2015" t="s">
        <v>1007</v>
      </c>
      <c r="B38" s="2016"/>
      <c r="C38" s="2016"/>
      <c r="D38" s="2016"/>
      <c r="E38" s="2016"/>
      <c r="F38" s="2016"/>
      <c r="G38" s="2016"/>
    </row>
    <row r="39" spans="1:7" ht="16">
      <c r="A39" s="628"/>
      <c r="B39" s="669"/>
      <c r="C39" s="628"/>
      <c r="D39" s="628"/>
      <c r="E39" s="670"/>
      <c r="F39" s="599"/>
    </row>
    <row r="40" spans="1:7" ht="16">
      <c r="A40" s="628"/>
      <c r="B40" s="669"/>
      <c r="C40" s="628"/>
      <c r="D40" s="628"/>
      <c r="E40" s="670"/>
      <c r="F40" s="599"/>
      <c r="G40" s="623"/>
    </row>
    <row r="41" spans="1:7" ht="16">
      <c r="A41" s="628"/>
      <c r="B41" s="669"/>
      <c r="C41" s="628"/>
      <c r="D41" s="628"/>
      <c r="E41" s="670"/>
      <c r="F41" s="599"/>
      <c r="G41" s="623"/>
    </row>
    <row r="42" spans="1:7" ht="16">
      <c r="A42" s="628"/>
      <c r="B42" s="669"/>
      <c r="C42" s="628"/>
      <c r="D42" s="628"/>
      <c r="E42" s="670"/>
      <c r="F42" s="599"/>
      <c r="G42" s="671" t="s">
        <v>1157</v>
      </c>
    </row>
  </sheetData>
  <mergeCells count="8">
    <mergeCell ref="F36:G36"/>
    <mergeCell ref="A38:G38"/>
    <mergeCell ref="A1:B1"/>
    <mergeCell ref="C1:F1"/>
    <mergeCell ref="A2:B2"/>
    <mergeCell ref="C2:F2"/>
    <mergeCell ref="A4:G4"/>
    <mergeCell ref="A5:G5"/>
  </mergeCells>
  <pageMargins left="0.7" right="0.7" top="0.75" bottom="0.75" header="0.3" footer="0.3"/>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K110"/>
  <sheetViews>
    <sheetView view="pageBreakPreview" zoomScaleNormal="100" zoomScaleSheetLayoutView="100" workbookViewId="0">
      <selection activeCell="A3" sqref="A3:J3"/>
    </sheetView>
  </sheetViews>
  <sheetFormatPr baseColWidth="10" defaultColWidth="10.83203125" defaultRowHeight="13"/>
  <cols>
    <col min="1" max="1" width="5.6640625" customWidth="1"/>
    <col min="2" max="2" width="28.83203125" customWidth="1"/>
    <col min="3" max="3" width="8.6640625" customWidth="1"/>
    <col min="4" max="5" width="6.33203125" customWidth="1"/>
    <col min="6" max="6" width="9" customWidth="1"/>
    <col min="7" max="7" width="6.6640625" customWidth="1"/>
    <col min="8" max="8" width="15.5" customWidth="1"/>
    <col min="9" max="9" width="31.83203125" customWidth="1"/>
    <col min="10" max="10" width="16.33203125" customWidth="1"/>
    <col min="11" max="256" width="8.83203125" customWidth="1"/>
    <col min="257" max="257" width="5.6640625" customWidth="1"/>
    <col min="258" max="258" width="25" customWidth="1"/>
    <col min="259" max="259" width="7.33203125" customWidth="1"/>
    <col min="260" max="261" width="6.33203125" customWidth="1"/>
    <col min="262" max="262" width="9" customWidth="1"/>
    <col min="263" max="263" width="6.6640625" customWidth="1"/>
    <col min="264" max="264" width="12.1640625" customWidth="1"/>
    <col min="265" max="265" width="36" customWidth="1"/>
    <col min="266" max="266" width="18" customWidth="1"/>
    <col min="267" max="512" width="8.83203125" customWidth="1"/>
    <col min="513" max="513" width="5.6640625" customWidth="1"/>
    <col min="514" max="514" width="25" customWidth="1"/>
    <col min="515" max="515" width="7.33203125" customWidth="1"/>
    <col min="516" max="517" width="6.33203125" customWidth="1"/>
    <col min="518" max="518" width="9" customWidth="1"/>
    <col min="519" max="519" width="6.6640625" customWidth="1"/>
    <col min="520" max="520" width="12.1640625" customWidth="1"/>
    <col min="521" max="521" width="36" customWidth="1"/>
    <col min="522" max="522" width="18" customWidth="1"/>
    <col min="523" max="768" width="8.83203125" customWidth="1"/>
    <col min="769" max="769" width="5.6640625" customWidth="1"/>
    <col min="770" max="770" width="25" customWidth="1"/>
    <col min="771" max="771" width="7.33203125" customWidth="1"/>
    <col min="772" max="773" width="6.33203125" customWidth="1"/>
    <col min="774" max="774" width="9" customWidth="1"/>
    <col min="775" max="775" width="6.6640625" customWidth="1"/>
    <col min="776" max="776" width="12.1640625" customWidth="1"/>
    <col min="777" max="777" width="36" customWidth="1"/>
    <col min="778" max="778" width="18" customWidth="1"/>
    <col min="779" max="1024" width="8.83203125" customWidth="1"/>
    <col min="1025" max="1025" width="5.6640625" customWidth="1"/>
    <col min="1026" max="1026" width="25" customWidth="1"/>
    <col min="1027" max="1027" width="7.33203125" customWidth="1"/>
    <col min="1028" max="1029" width="6.33203125" customWidth="1"/>
    <col min="1030" max="1030" width="9" customWidth="1"/>
    <col min="1031" max="1031" width="6.6640625" customWidth="1"/>
    <col min="1032" max="1032" width="12.1640625" customWidth="1"/>
    <col min="1033" max="1033" width="36" customWidth="1"/>
    <col min="1034" max="1034" width="18" customWidth="1"/>
    <col min="1035" max="1280" width="8.83203125" customWidth="1"/>
    <col min="1281" max="1281" width="5.6640625" customWidth="1"/>
    <col min="1282" max="1282" width="25" customWidth="1"/>
    <col min="1283" max="1283" width="7.33203125" customWidth="1"/>
    <col min="1284" max="1285" width="6.33203125" customWidth="1"/>
    <col min="1286" max="1286" width="9" customWidth="1"/>
    <col min="1287" max="1287" width="6.6640625" customWidth="1"/>
    <col min="1288" max="1288" width="12.1640625" customWidth="1"/>
    <col min="1289" max="1289" width="36" customWidth="1"/>
    <col min="1290" max="1290" width="18" customWidth="1"/>
    <col min="1291" max="1536" width="8.83203125" customWidth="1"/>
    <col min="1537" max="1537" width="5.6640625" customWidth="1"/>
    <col min="1538" max="1538" width="25" customWidth="1"/>
    <col min="1539" max="1539" width="7.33203125" customWidth="1"/>
    <col min="1540" max="1541" width="6.33203125" customWidth="1"/>
    <col min="1542" max="1542" width="9" customWidth="1"/>
    <col min="1543" max="1543" width="6.6640625" customWidth="1"/>
    <col min="1544" max="1544" width="12.1640625" customWidth="1"/>
    <col min="1545" max="1545" width="36" customWidth="1"/>
    <col min="1546" max="1546" width="18" customWidth="1"/>
    <col min="1547" max="1792" width="8.83203125" customWidth="1"/>
    <col min="1793" max="1793" width="5.6640625" customWidth="1"/>
    <col min="1794" max="1794" width="25" customWidth="1"/>
    <col min="1795" max="1795" width="7.33203125" customWidth="1"/>
    <col min="1796" max="1797" width="6.33203125" customWidth="1"/>
    <col min="1798" max="1798" width="9" customWidth="1"/>
    <col min="1799" max="1799" width="6.6640625" customWidth="1"/>
    <col min="1800" max="1800" width="12.1640625" customWidth="1"/>
    <col min="1801" max="1801" width="36" customWidth="1"/>
    <col min="1802" max="1802" width="18" customWidth="1"/>
    <col min="1803" max="2048" width="8.83203125" customWidth="1"/>
    <col min="2049" max="2049" width="5.6640625" customWidth="1"/>
    <col min="2050" max="2050" width="25" customWidth="1"/>
    <col min="2051" max="2051" width="7.33203125" customWidth="1"/>
    <col min="2052" max="2053" width="6.33203125" customWidth="1"/>
    <col min="2054" max="2054" width="9" customWidth="1"/>
    <col min="2055" max="2055" width="6.6640625" customWidth="1"/>
    <col min="2056" max="2056" width="12.1640625" customWidth="1"/>
    <col min="2057" max="2057" width="36" customWidth="1"/>
    <col min="2058" max="2058" width="18" customWidth="1"/>
    <col min="2059" max="2304" width="8.83203125" customWidth="1"/>
    <col min="2305" max="2305" width="5.6640625" customWidth="1"/>
    <col min="2306" max="2306" width="25" customWidth="1"/>
    <col min="2307" max="2307" width="7.33203125" customWidth="1"/>
    <col min="2308" max="2309" width="6.33203125" customWidth="1"/>
    <col min="2310" max="2310" width="9" customWidth="1"/>
    <col min="2311" max="2311" width="6.6640625" customWidth="1"/>
    <col min="2312" max="2312" width="12.1640625" customWidth="1"/>
    <col min="2313" max="2313" width="36" customWidth="1"/>
    <col min="2314" max="2314" width="18" customWidth="1"/>
    <col min="2315" max="2560" width="8.83203125" customWidth="1"/>
    <col min="2561" max="2561" width="5.6640625" customWidth="1"/>
    <col min="2562" max="2562" width="25" customWidth="1"/>
    <col min="2563" max="2563" width="7.33203125" customWidth="1"/>
    <col min="2564" max="2565" width="6.33203125" customWidth="1"/>
    <col min="2566" max="2566" width="9" customWidth="1"/>
    <col min="2567" max="2567" width="6.6640625" customWidth="1"/>
    <col min="2568" max="2568" width="12.1640625" customWidth="1"/>
    <col min="2569" max="2569" width="36" customWidth="1"/>
    <col min="2570" max="2570" width="18" customWidth="1"/>
    <col min="2571" max="2816" width="8.83203125" customWidth="1"/>
    <col min="2817" max="2817" width="5.6640625" customWidth="1"/>
    <col min="2818" max="2818" width="25" customWidth="1"/>
    <col min="2819" max="2819" width="7.33203125" customWidth="1"/>
    <col min="2820" max="2821" width="6.33203125" customWidth="1"/>
    <col min="2822" max="2822" width="9" customWidth="1"/>
    <col min="2823" max="2823" width="6.6640625" customWidth="1"/>
    <col min="2824" max="2824" width="12.1640625" customWidth="1"/>
    <col min="2825" max="2825" width="36" customWidth="1"/>
    <col min="2826" max="2826" width="18" customWidth="1"/>
    <col min="2827" max="3072" width="8.83203125" customWidth="1"/>
    <col min="3073" max="3073" width="5.6640625" customWidth="1"/>
    <col min="3074" max="3074" width="25" customWidth="1"/>
    <col min="3075" max="3075" width="7.33203125" customWidth="1"/>
    <col min="3076" max="3077" width="6.33203125" customWidth="1"/>
    <col min="3078" max="3078" width="9" customWidth="1"/>
    <col min="3079" max="3079" width="6.6640625" customWidth="1"/>
    <col min="3080" max="3080" width="12.1640625" customWidth="1"/>
    <col min="3081" max="3081" width="36" customWidth="1"/>
    <col min="3082" max="3082" width="18" customWidth="1"/>
    <col min="3083" max="3328" width="8.83203125" customWidth="1"/>
    <col min="3329" max="3329" width="5.6640625" customWidth="1"/>
    <col min="3330" max="3330" width="25" customWidth="1"/>
    <col min="3331" max="3331" width="7.33203125" customWidth="1"/>
    <col min="3332" max="3333" width="6.33203125" customWidth="1"/>
    <col min="3334" max="3334" width="9" customWidth="1"/>
    <col min="3335" max="3335" width="6.6640625" customWidth="1"/>
    <col min="3336" max="3336" width="12.1640625" customWidth="1"/>
    <col min="3337" max="3337" width="36" customWidth="1"/>
    <col min="3338" max="3338" width="18" customWidth="1"/>
    <col min="3339" max="3584" width="8.83203125" customWidth="1"/>
    <col min="3585" max="3585" width="5.6640625" customWidth="1"/>
    <col min="3586" max="3586" width="25" customWidth="1"/>
    <col min="3587" max="3587" width="7.33203125" customWidth="1"/>
    <col min="3588" max="3589" width="6.33203125" customWidth="1"/>
    <col min="3590" max="3590" width="9" customWidth="1"/>
    <col min="3591" max="3591" width="6.6640625" customWidth="1"/>
    <col min="3592" max="3592" width="12.1640625" customWidth="1"/>
    <col min="3593" max="3593" width="36" customWidth="1"/>
    <col min="3594" max="3594" width="18" customWidth="1"/>
    <col min="3595" max="3840" width="8.83203125" customWidth="1"/>
    <col min="3841" max="3841" width="5.6640625" customWidth="1"/>
    <col min="3842" max="3842" width="25" customWidth="1"/>
    <col min="3843" max="3843" width="7.33203125" customWidth="1"/>
    <col min="3844" max="3845" width="6.33203125" customWidth="1"/>
    <col min="3846" max="3846" width="9" customWidth="1"/>
    <col min="3847" max="3847" width="6.6640625" customWidth="1"/>
    <col min="3848" max="3848" width="12.1640625" customWidth="1"/>
    <col min="3849" max="3849" width="36" customWidth="1"/>
    <col min="3850" max="3850" width="18" customWidth="1"/>
    <col min="3851" max="4096" width="8.83203125" customWidth="1"/>
    <col min="4097" max="4097" width="5.6640625" customWidth="1"/>
    <col min="4098" max="4098" width="25" customWidth="1"/>
    <col min="4099" max="4099" width="7.33203125" customWidth="1"/>
    <col min="4100" max="4101" width="6.33203125" customWidth="1"/>
    <col min="4102" max="4102" width="9" customWidth="1"/>
    <col min="4103" max="4103" width="6.6640625" customWidth="1"/>
    <col min="4104" max="4104" width="12.1640625" customWidth="1"/>
    <col min="4105" max="4105" width="36" customWidth="1"/>
    <col min="4106" max="4106" width="18" customWidth="1"/>
    <col min="4107" max="4352" width="8.83203125" customWidth="1"/>
    <col min="4353" max="4353" width="5.6640625" customWidth="1"/>
    <col min="4354" max="4354" width="25" customWidth="1"/>
    <col min="4355" max="4355" width="7.33203125" customWidth="1"/>
    <col min="4356" max="4357" width="6.33203125" customWidth="1"/>
    <col min="4358" max="4358" width="9" customWidth="1"/>
    <col min="4359" max="4359" width="6.6640625" customWidth="1"/>
    <col min="4360" max="4360" width="12.1640625" customWidth="1"/>
    <col min="4361" max="4361" width="36" customWidth="1"/>
    <col min="4362" max="4362" width="18" customWidth="1"/>
    <col min="4363" max="4608" width="8.83203125" customWidth="1"/>
    <col min="4609" max="4609" width="5.6640625" customWidth="1"/>
    <col min="4610" max="4610" width="25" customWidth="1"/>
    <col min="4611" max="4611" width="7.33203125" customWidth="1"/>
    <col min="4612" max="4613" width="6.33203125" customWidth="1"/>
    <col min="4614" max="4614" width="9" customWidth="1"/>
    <col min="4615" max="4615" width="6.6640625" customWidth="1"/>
    <col min="4616" max="4616" width="12.1640625" customWidth="1"/>
    <col min="4617" max="4617" width="36" customWidth="1"/>
    <col min="4618" max="4618" width="18" customWidth="1"/>
    <col min="4619" max="4864" width="8.83203125" customWidth="1"/>
    <col min="4865" max="4865" width="5.6640625" customWidth="1"/>
    <col min="4866" max="4866" width="25" customWidth="1"/>
    <col min="4867" max="4867" width="7.33203125" customWidth="1"/>
    <col min="4868" max="4869" width="6.33203125" customWidth="1"/>
    <col min="4870" max="4870" width="9" customWidth="1"/>
    <col min="4871" max="4871" width="6.6640625" customWidth="1"/>
    <col min="4872" max="4872" width="12.1640625" customWidth="1"/>
    <col min="4873" max="4873" width="36" customWidth="1"/>
    <col min="4874" max="4874" width="18" customWidth="1"/>
    <col min="4875" max="5120" width="8.83203125" customWidth="1"/>
    <col min="5121" max="5121" width="5.6640625" customWidth="1"/>
    <col min="5122" max="5122" width="25" customWidth="1"/>
    <col min="5123" max="5123" width="7.33203125" customWidth="1"/>
    <col min="5124" max="5125" width="6.33203125" customWidth="1"/>
    <col min="5126" max="5126" width="9" customWidth="1"/>
    <col min="5127" max="5127" width="6.6640625" customWidth="1"/>
    <col min="5128" max="5128" width="12.1640625" customWidth="1"/>
    <col min="5129" max="5129" width="36" customWidth="1"/>
    <col min="5130" max="5130" width="18" customWidth="1"/>
    <col min="5131" max="5376" width="8.83203125" customWidth="1"/>
    <col min="5377" max="5377" width="5.6640625" customWidth="1"/>
    <col min="5378" max="5378" width="25" customWidth="1"/>
    <col min="5379" max="5379" width="7.33203125" customWidth="1"/>
    <col min="5380" max="5381" width="6.33203125" customWidth="1"/>
    <col min="5382" max="5382" width="9" customWidth="1"/>
    <col min="5383" max="5383" width="6.6640625" customWidth="1"/>
    <col min="5384" max="5384" width="12.1640625" customWidth="1"/>
    <col min="5385" max="5385" width="36" customWidth="1"/>
    <col min="5386" max="5386" width="18" customWidth="1"/>
    <col min="5387" max="5632" width="8.83203125" customWidth="1"/>
    <col min="5633" max="5633" width="5.6640625" customWidth="1"/>
    <col min="5634" max="5634" width="25" customWidth="1"/>
    <col min="5635" max="5635" width="7.33203125" customWidth="1"/>
    <col min="5636" max="5637" width="6.33203125" customWidth="1"/>
    <col min="5638" max="5638" width="9" customWidth="1"/>
    <col min="5639" max="5639" width="6.6640625" customWidth="1"/>
    <col min="5640" max="5640" width="12.1640625" customWidth="1"/>
    <col min="5641" max="5641" width="36" customWidth="1"/>
    <col min="5642" max="5642" width="18" customWidth="1"/>
    <col min="5643" max="5888" width="8.83203125" customWidth="1"/>
    <col min="5889" max="5889" width="5.6640625" customWidth="1"/>
    <col min="5890" max="5890" width="25" customWidth="1"/>
    <col min="5891" max="5891" width="7.33203125" customWidth="1"/>
    <col min="5892" max="5893" width="6.33203125" customWidth="1"/>
    <col min="5894" max="5894" width="9" customWidth="1"/>
    <col min="5895" max="5895" width="6.6640625" customWidth="1"/>
    <col min="5896" max="5896" width="12.1640625" customWidth="1"/>
    <col min="5897" max="5897" width="36" customWidth="1"/>
    <col min="5898" max="5898" width="18" customWidth="1"/>
    <col min="5899" max="6144" width="8.83203125" customWidth="1"/>
    <col min="6145" max="6145" width="5.6640625" customWidth="1"/>
    <col min="6146" max="6146" width="25" customWidth="1"/>
    <col min="6147" max="6147" width="7.33203125" customWidth="1"/>
    <col min="6148" max="6149" width="6.33203125" customWidth="1"/>
    <col min="6150" max="6150" width="9" customWidth="1"/>
    <col min="6151" max="6151" width="6.6640625" customWidth="1"/>
    <col min="6152" max="6152" width="12.1640625" customWidth="1"/>
    <col min="6153" max="6153" width="36" customWidth="1"/>
    <col min="6154" max="6154" width="18" customWidth="1"/>
    <col min="6155" max="6400" width="8.83203125" customWidth="1"/>
    <col min="6401" max="6401" width="5.6640625" customWidth="1"/>
    <col min="6402" max="6402" width="25" customWidth="1"/>
    <col min="6403" max="6403" width="7.33203125" customWidth="1"/>
    <col min="6404" max="6405" width="6.33203125" customWidth="1"/>
    <col min="6406" max="6406" width="9" customWidth="1"/>
    <col min="6407" max="6407" width="6.6640625" customWidth="1"/>
    <col min="6408" max="6408" width="12.1640625" customWidth="1"/>
    <col min="6409" max="6409" width="36" customWidth="1"/>
    <col min="6410" max="6410" width="18" customWidth="1"/>
    <col min="6411" max="6656" width="8.83203125" customWidth="1"/>
    <col min="6657" max="6657" width="5.6640625" customWidth="1"/>
    <col min="6658" max="6658" width="25" customWidth="1"/>
    <col min="6659" max="6659" width="7.33203125" customWidth="1"/>
    <col min="6660" max="6661" width="6.33203125" customWidth="1"/>
    <col min="6662" max="6662" width="9" customWidth="1"/>
    <col min="6663" max="6663" width="6.6640625" customWidth="1"/>
    <col min="6664" max="6664" width="12.1640625" customWidth="1"/>
    <col min="6665" max="6665" width="36" customWidth="1"/>
    <col min="6666" max="6666" width="18" customWidth="1"/>
    <col min="6667" max="6912" width="8.83203125" customWidth="1"/>
    <col min="6913" max="6913" width="5.6640625" customWidth="1"/>
    <col min="6914" max="6914" width="25" customWidth="1"/>
    <col min="6915" max="6915" width="7.33203125" customWidth="1"/>
    <col min="6916" max="6917" width="6.33203125" customWidth="1"/>
    <col min="6918" max="6918" width="9" customWidth="1"/>
    <col min="6919" max="6919" width="6.6640625" customWidth="1"/>
    <col min="6920" max="6920" width="12.1640625" customWidth="1"/>
    <col min="6921" max="6921" width="36" customWidth="1"/>
    <col min="6922" max="6922" width="18" customWidth="1"/>
    <col min="6923" max="7168" width="8.83203125" customWidth="1"/>
    <col min="7169" max="7169" width="5.6640625" customWidth="1"/>
    <col min="7170" max="7170" width="25" customWidth="1"/>
    <col min="7171" max="7171" width="7.33203125" customWidth="1"/>
    <col min="7172" max="7173" width="6.33203125" customWidth="1"/>
    <col min="7174" max="7174" width="9" customWidth="1"/>
    <col min="7175" max="7175" width="6.6640625" customWidth="1"/>
    <col min="7176" max="7176" width="12.1640625" customWidth="1"/>
    <col min="7177" max="7177" width="36" customWidth="1"/>
    <col min="7178" max="7178" width="18" customWidth="1"/>
    <col min="7179" max="7424" width="8.83203125" customWidth="1"/>
    <col min="7425" max="7425" width="5.6640625" customWidth="1"/>
    <col min="7426" max="7426" width="25" customWidth="1"/>
    <col min="7427" max="7427" width="7.33203125" customWidth="1"/>
    <col min="7428" max="7429" width="6.33203125" customWidth="1"/>
    <col min="7430" max="7430" width="9" customWidth="1"/>
    <col min="7431" max="7431" width="6.6640625" customWidth="1"/>
    <col min="7432" max="7432" width="12.1640625" customWidth="1"/>
    <col min="7433" max="7433" width="36" customWidth="1"/>
    <col min="7434" max="7434" width="18" customWidth="1"/>
    <col min="7435" max="7680" width="8.83203125" customWidth="1"/>
    <col min="7681" max="7681" width="5.6640625" customWidth="1"/>
    <col min="7682" max="7682" width="25" customWidth="1"/>
    <col min="7683" max="7683" width="7.33203125" customWidth="1"/>
    <col min="7684" max="7685" width="6.33203125" customWidth="1"/>
    <col min="7686" max="7686" width="9" customWidth="1"/>
    <col min="7687" max="7687" width="6.6640625" customWidth="1"/>
    <col min="7688" max="7688" width="12.1640625" customWidth="1"/>
    <col min="7689" max="7689" width="36" customWidth="1"/>
    <col min="7690" max="7690" width="18" customWidth="1"/>
    <col min="7691" max="7936" width="8.83203125" customWidth="1"/>
    <col min="7937" max="7937" width="5.6640625" customWidth="1"/>
    <col min="7938" max="7938" width="25" customWidth="1"/>
    <col min="7939" max="7939" width="7.33203125" customWidth="1"/>
    <col min="7940" max="7941" width="6.33203125" customWidth="1"/>
    <col min="7942" max="7942" width="9" customWidth="1"/>
    <col min="7943" max="7943" width="6.6640625" customWidth="1"/>
    <col min="7944" max="7944" width="12.1640625" customWidth="1"/>
    <col min="7945" max="7945" width="36" customWidth="1"/>
    <col min="7946" max="7946" width="18" customWidth="1"/>
    <col min="7947" max="8192" width="8.83203125" customWidth="1"/>
    <col min="8193" max="8193" width="5.6640625" customWidth="1"/>
    <col min="8194" max="8194" width="25" customWidth="1"/>
    <col min="8195" max="8195" width="7.33203125" customWidth="1"/>
    <col min="8196" max="8197" width="6.33203125" customWidth="1"/>
    <col min="8198" max="8198" width="9" customWidth="1"/>
    <col min="8199" max="8199" width="6.6640625" customWidth="1"/>
    <col min="8200" max="8200" width="12.1640625" customWidth="1"/>
    <col min="8201" max="8201" width="36" customWidth="1"/>
    <col min="8202" max="8202" width="18" customWidth="1"/>
    <col min="8203" max="8448" width="8.83203125" customWidth="1"/>
    <col min="8449" max="8449" width="5.6640625" customWidth="1"/>
    <col min="8450" max="8450" width="25" customWidth="1"/>
    <col min="8451" max="8451" width="7.33203125" customWidth="1"/>
    <col min="8452" max="8453" width="6.33203125" customWidth="1"/>
    <col min="8454" max="8454" width="9" customWidth="1"/>
    <col min="8455" max="8455" width="6.6640625" customWidth="1"/>
    <col min="8456" max="8456" width="12.1640625" customWidth="1"/>
    <col min="8457" max="8457" width="36" customWidth="1"/>
    <col min="8458" max="8458" width="18" customWidth="1"/>
    <col min="8459" max="8704" width="8.83203125" customWidth="1"/>
    <col min="8705" max="8705" width="5.6640625" customWidth="1"/>
    <col min="8706" max="8706" width="25" customWidth="1"/>
    <col min="8707" max="8707" width="7.33203125" customWidth="1"/>
    <col min="8708" max="8709" width="6.33203125" customWidth="1"/>
    <col min="8710" max="8710" width="9" customWidth="1"/>
    <col min="8711" max="8711" width="6.6640625" customWidth="1"/>
    <col min="8712" max="8712" width="12.1640625" customWidth="1"/>
    <col min="8713" max="8713" width="36" customWidth="1"/>
    <col min="8714" max="8714" width="18" customWidth="1"/>
    <col min="8715" max="8960" width="8.83203125" customWidth="1"/>
    <col min="8961" max="8961" width="5.6640625" customWidth="1"/>
    <col min="8962" max="8962" width="25" customWidth="1"/>
    <col min="8963" max="8963" width="7.33203125" customWidth="1"/>
    <col min="8964" max="8965" width="6.33203125" customWidth="1"/>
    <col min="8966" max="8966" width="9" customWidth="1"/>
    <col min="8967" max="8967" width="6.6640625" customWidth="1"/>
    <col min="8968" max="8968" width="12.1640625" customWidth="1"/>
    <col min="8969" max="8969" width="36" customWidth="1"/>
    <col min="8970" max="8970" width="18" customWidth="1"/>
    <col min="8971" max="9216" width="8.83203125" customWidth="1"/>
    <col min="9217" max="9217" width="5.6640625" customWidth="1"/>
    <col min="9218" max="9218" width="25" customWidth="1"/>
    <col min="9219" max="9219" width="7.33203125" customWidth="1"/>
    <col min="9220" max="9221" width="6.33203125" customWidth="1"/>
    <col min="9222" max="9222" width="9" customWidth="1"/>
    <col min="9223" max="9223" width="6.6640625" customWidth="1"/>
    <col min="9224" max="9224" width="12.1640625" customWidth="1"/>
    <col min="9225" max="9225" width="36" customWidth="1"/>
    <col min="9226" max="9226" width="18" customWidth="1"/>
    <col min="9227" max="9472" width="8.83203125" customWidth="1"/>
    <col min="9473" max="9473" width="5.6640625" customWidth="1"/>
    <col min="9474" max="9474" width="25" customWidth="1"/>
    <col min="9475" max="9475" width="7.33203125" customWidth="1"/>
    <col min="9476" max="9477" width="6.33203125" customWidth="1"/>
    <col min="9478" max="9478" width="9" customWidth="1"/>
    <col min="9479" max="9479" width="6.6640625" customWidth="1"/>
    <col min="9480" max="9480" width="12.1640625" customWidth="1"/>
    <col min="9481" max="9481" width="36" customWidth="1"/>
    <col min="9482" max="9482" width="18" customWidth="1"/>
    <col min="9483" max="9728" width="8.83203125" customWidth="1"/>
    <col min="9729" max="9729" width="5.6640625" customWidth="1"/>
    <col min="9730" max="9730" width="25" customWidth="1"/>
    <col min="9731" max="9731" width="7.33203125" customWidth="1"/>
    <col min="9732" max="9733" width="6.33203125" customWidth="1"/>
    <col min="9734" max="9734" width="9" customWidth="1"/>
    <col min="9735" max="9735" width="6.6640625" customWidth="1"/>
    <col min="9736" max="9736" width="12.1640625" customWidth="1"/>
    <col min="9737" max="9737" width="36" customWidth="1"/>
    <col min="9738" max="9738" width="18" customWidth="1"/>
    <col min="9739" max="9984" width="8.83203125" customWidth="1"/>
    <col min="9985" max="9985" width="5.6640625" customWidth="1"/>
    <col min="9986" max="9986" width="25" customWidth="1"/>
    <col min="9987" max="9987" width="7.33203125" customWidth="1"/>
    <col min="9988" max="9989" width="6.33203125" customWidth="1"/>
    <col min="9990" max="9990" width="9" customWidth="1"/>
    <col min="9991" max="9991" width="6.6640625" customWidth="1"/>
    <col min="9992" max="9992" width="12.1640625" customWidth="1"/>
    <col min="9993" max="9993" width="36" customWidth="1"/>
    <col min="9994" max="9994" width="18" customWidth="1"/>
    <col min="9995" max="10240" width="8.83203125" customWidth="1"/>
    <col min="10241" max="10241" width="5.6640625" customWidth="1"/>
    <col min="10242" max="10242" width="25" customWidth="1"/>
    <col min="10243" max="10243" width="7.33203125" customWidth="1"/>
    <col min="10244" max="10245" width="6.33203125" customWidth="1"/>
    <col min="10246" max="10246" width="9" customWidth="1"/>
    <col min="10247" max="10247" width="6.6640625" customWidth="1"/>
    <col min="10248" max="10248" width="12.1640625" customWidth="1"/>
    <col min="10249" max="10249" width="36" customWidth="1"/>
    <col min="10250" max="10250" width="18" customWidth="1"/>
    <col min="10251" max="10496" width="8.83203125" customWidth="1"/>
    <col min="10497" max="10497" width="5.6640625" customWidth="1"/>
    <col min="10498" max="10498" width="25" customWidth="1"/>
    <col min="10499" max="10499" width="7.33203125" customWidth="1"/>
    <col min="10500" max="10501" width="6.33203125" customWidth="1"/>
    <col min="10502" max="10502" width="9" customWidth="1"/>
    <col min="10503" max="10503" width="6.6640625" customWidth="1"/>
    <col min="10504" max="10504" width="12.1640625" customWidth="1"/>
    <col min="10505" max="10505" width="36" customWidth="1"/>
    <col min="10506" max="10506" width="18" customWidth="1"/>
    <col min="10507" max="10752" width="8.83203125" customWidth="1"/>
    <col min="10753" max="10753" width="5.6640625" customWidth="1"/>
    <col min="10754" max="10754" width="25" customWidth="1"/>
    <col min="10755" max="10755" width="7.33203125" customWidth="1"/>
    <col min="10756" max="10757" width="6.33203125" customWidth="1"/>
    <col min="10758" max="10758" width="9" customWidth="1"/>
    <col min="10759" max="10759" width="6.6640625" customWidth="1"/>
    <col min="10760" max="10760" width="12.1640625" customWidth="1"/>
    <col min="10761" max="10761" width="36" customWidth="1"/>
    <col min="10762" max="10762" width="18" customWidth="1"/>
    <col min="10763" max="11008" width="8.83203125" customWidth="1"/>
    <col min="11009" max="11009" width="5.6640625" customWidth="1"/>
    <col min="11010" max="11010" width="25" customWidth="1"/>
    <col min="11011" max="11011" width="7.33203125" customWidth="1"/>
    <col min="11012" max="11013" width="6.33203125" customWidth="1"/>
    <col min="11014" max="11014" width="9" customWidth="1"/>
    <col min="11015" max="11015" width="6.6640625" customWidth="1"/>
    <col min="11016" max="11016" width="12.1640625" customWidth="1"/>
    <col min="11017" max="11017" width="36" customWidth="1"/>
    <col min="11018" max="11018" width="18" customWidth="1"/>
    <col min="11019" max="11264" width="8.83203125" customWidth="1"/>
    <col min="11265" max="11265" width="5.6640625" customWidth="1"/>
    <col min="11266" max="11266" width="25" customWidth="1"/>
    <col min="11267" max="11267" width="7.33203125" customWidth="1"/>
    <col min="11268" max="11269" width="6.33203125" customWidth="1"/>
    <col min="11270" max="11270" width="9" customWidth="1"/>
    <col min="11271" max="11271" width="6.6640625" customWidth="1"/>
    <col min="11272" max="11272" width="12.1640625" customWidth="1"/>
    <col min="11273" max="11273" width="36" customWidth="1"/>
    <col min="11274" max="11274" width="18" customWidth="1"/>
    <col min="11275" max="11520" width="8.83203125" customWidth="1"/>
    <col min="11521" max="11521" width="5.6640625" customWidth="1"/>
    <col min="11522" max="11522" width="25" customWidth="1"/>
    <col min="11523" max="11523" width="7.33203125" customWidth="1"/>
    <col min="11524" max="11525" width="6.33203125" customWidth="1"/>
    <col min="11526" max="11526" width="9" customWidth="1"/>
    <col min="11527" max="11527" width="6.6640625" customWidth="1"/>
    <col min="11528" max="11528" width="12.1640625" customWidth="1"/>
    <col min="11529" max="11529" width="36" customWidth="1"/>
    <col min="11530" max="11530" width="18" customWidth="1"/>
    <col min="11531" max="11776" width="8.83203125" customWidth="1"/>
    <col min="11777" max="11777" width="5.6640625" customWidth="1"/>
    <col min="11778" max="11778" width="25" customWidth="1"/>
    <col min="11779" max="11779" width="7.33203125" customWidth="1"/>
    <col min="11780" max="11781" width="6.33203125" customWidth="1"/>
    <col min="11782" max="11782" width="9" customWidth="1"/>
    <col min="11783" max="11783" width="6.6640625" customWidth="1"/>
    <col min="11784" max="11784" width="12.1640625" customWidth="1"/>
    <col min="11785" max="11785" width="36" customWidth="1"/>
    <col min="11786" max="11786" width="18" customWidth="1"/>
    <col min="11787" max="12032" width="8.83203125" customWidth="1"/>
    <col min="12033" max="12033" width="5.6640625" customWidth="1"/>
    <col min="12034" max="12034" width="25" customWidth="1"/>
    <col min="12035" max="12035" width="7.33203125" customWidth="1"/>
    <col min="12036" max="12037" width="6.33203125" customWidth="1"/>
    <col min="12038" max="12038" width="9" customWidth="1"/>
    <col min="12039" max="12039" width="6.6640625" customWidth="1"/>
    <col min="12040" max="12040" width="12.1640625" customWidth="1"/>
    <col min="12041" max="12041" width="36" customWidth="1"/>
    <col min="12042" max="12042" width="18" customWidth="1"/>
    <col min="12043" max="12288" width="8.83203125" customWidth="1"/>
    <col min="12289" max="12289" width="5.6640625" customWidth="1"/>
    <col min="12290" max="12290" width="25" customWidth="1"/>
    <col min="12291" max="12291" width="7.33203125" customWidth="1"/>
    <col min="12292" max="12293" width="6.33203125" customWidth="1"/>
    <col min="12294" max="12294" width="9" customWidth="1"/>
    <col min="12295" max="12295" width="6.6640625" customWidth="1"/>
    <col min="12296" max="12296" width="12.1640625" customWidth="1"/>
    <col min="12297" max="12297" width="36" customWidth="1"/>
    <col min="12298" max="12298" width="18" customWidth="1"/>
    <col min="12299" max="12544" width="8.83203125" customWidth="1"/>
    <col min="12545" max="12545" width="5.6640625" customWidth="1"/>
    <col min="12546" max="12546" width="25" customWidth="1"/>
    <col min="12547" max="12547" width="7.33203125" customWidth="1"/>
    <col min="12548" max="12549" width="6.33203125" customWidth="1"/>
    <col min="12550" max="12550" width="9" customWidth="1"/>
    <col min="12551" max="12551" width="6.6640625" customWidth="1"/>
    <col min="12552" max="12552" width="12.1640625" customWidth="1"/>
    <col min="12553" max="12553" width="36" customWidth="1"/>
    <col min="12554" max="12554" width="18" customWidth="1"/>
    <col min="12555" max="12800" width="8.83203125" customWidth="1"/>
    <col min="12801" max="12801" width="5.6640625" customWidth="1"/>
    <col min="12802" max="12802" width="25" customWidth="1"/>
    <col min="12803" max="12803" width="7.33203125" customWidth="1"/>
    <col min="12804" max="12805" width="6.33203125" customWidth="1"/>
    <col min="12806" max="12806" width="9" customWidth="1"/>
    <col min="12807" max="12807" width="6.6640625" customWidth="1"/>
    <col min="12808" max="12808" width="12.1640625" customWidth="1"/>
    <col min="12809" max="12809" width="36" customWidth="1"/>
    <col min="12810" max="12810" width="18" customWidth="1"/>
    <col min="12811" max="13056" width="8.83203125" customWidth="1"/>
    <col min="13057" max="13057" width="5.6640625" customWidth="1"/>
    <col min="13058" max="13058" width="25" customWidth="1"/>
    <col min="13059" max="13059" width="7.33203125" customWidth="1"/>
    <col min="13060" max="13061" width="6.33203125" customWidth="1"/>
    <col min="13062" max="13062" width="9" customWidth="1"/>
    <col min="13063" max="13063" width="6.6640625" customWidth="1"/>
    <col min="13064" max="13064" width="12.1640625" customWidth="1"/>
    <col min="13065" max="13065" width="36" customWidth="1"/>
    <col min="13066" max="13066" width="18" customWidth="1"/>
    <col min="13067" max="13312" width="8.83203125" customWidth="1"/>
    <col min="13313" max="13313" width="5.6640625" customWidth="1"/>
    <col min="13314" max="13314" width="25" customWidth="1"/>
    <col min="13315" max="13315" width="7.33203125" customWidth="1"/>
    <col min="13316" max="13317" width="6.33203125" customWidth="1"/>
    <col min="13318" max="13318" width="9" customWidth="1"/>
    <col min="13319" max="13319" width="6.6640625" customWidth="1"/>
    <col min="13320" max="13320" width="12.1640625" customWidth="1"/>
    <col min="13321" max="13321" width="36" customWidth="1"/>
    <col min="13322" max="13322" width="18" customWidth="1"/>
    <col min="13323" max="13568" width="8.83203125" customWidth="1"/>
    <col min="13569" max="13569" width="5.6640625" customWidth="1"/>
    <col min="13570" max="13570" width="25" customWidth="1"/>
    <col min="13571" max="13571" width="7.33203125" customWidth="1"/>
    <col min="13572" max="13573" width="6.33203125" customWidth="1"/>
    <col min="13574" max="13574" width="9" customWidth="1"/>
    <col min="13575" max="13575" width="6.6640625" customWidth="1"/>
    <col min="13576" max="13576" width="12.1640625" customWidth="1"/>
    <col min="13577" max="13577" width="36" customWidth="1"/>
    <col min="13578" max="13578" width="18" customWidth="1"/>
    <col min="13579" max="13824" width="8.83203125" customWidth="1"/>
    <col min="13825" max="13825" width="5.6640625" customWidth="1"/>
    <col min="13826" max="13826" width="25" customWidth="1"/>
    <col min="13827" max="13827" width="7.33203125" customWidth="1"/>
    <col min="13828" max="13829" width="6.33203125" customWidth="1"/>
    <col min="13830" max="13830" width="9" customWidth="1"/>
    <col min="13831" max="13831" width="6.6640625" customWidth="1"/>
    <col min="13832" max="13832" width="12.1640625" customWidth="1"/>
    <col min="13833" max="13833" width="36" customWidth="1"/>
    <col min="13834" max="13834" width="18" customWidth="1"/>
    <col min="13835" max="14080" width="8.83203125" customWidth="1"/>
    <col min="14081" max="14081" width="5.6640625" customWidth="1"/>
    <col min="14082" max="14082" width="25" customWidth="1"/>
    <col min="14083" max="14083" width="7.33203125" customWidth="1"/>
    <col min="14084" max="14085" width="6.33203125" customWidth="1"/>
    <col min="14086" max="14086" width="9" customWidth="1"/>
    <col min="14087" max="14087" width="6.6640625" customWidth="1"/>
    <col min="14088" max="14088" width="12.1640625" customWidth="1"/>
    <col min="14089" max="14089" width="36" customWidth="1"/>
    <col min="14090" max="14090" width="18" customWidth="1"/>
    <col min="14091" max="14336" width="8.83203125" customWidth="1"/>
    <col min="14337" max="14337" width="5.6640625" customWidth="1"/>
    <col min="14338" max="14338" width="25" customWidth="1"/>
    <col min="14339" max="14339" width="7.33203125" customWidth="1"/>
    <col min="14340" max="14341" width="6.33203125" customWidth="1"/>
    <col min="14342" max="14342" width="9" customWidth="1"/>
    <col min="14343" max="14343" width="6.6640625" customWidth="1"/>
    <col min="14344" max="14344" width="12.1640625" customWidth="1"/>
    <col min="14345" max="14345" width="36" customWidth="1"/>
    <col min="14346" max="14346" width="18" customWidth="1"/>
    <col min="14347" max="14592" width="8.83203125" customWidth="1"/>
    <col min="14593" max="14593" width="5.6640625" customWidth="1"/>
    <col min="14594" max="14594" width="25" customWidth="1"/>
    <col min="14595" max="14595" width="7.33203125" customWidth="1"/>
    <col min="14596" max="14597" width="6.33203125" customWidth="1"/>
    <col min="14598" max="14598" width="9" customWidth="1"/>
    <col min="14599" max="14599" width="6.6640625" customWidth="1"/>
    <col min="14600" max="14600" width="12.1640625" customWidth="1"/>
    <col min="14601" max="14601" width="36" customWidth="1"/>
    <col min="14602" max="14602" width="18" customWidth="1"/>
    <col min="14603" max="14848" width="8.83203125" customWidth="1"/>
    <col min="14849" max="14849" width="5.6640625" customWidth="1"/>
    <col min="14850" max="14850" width="25" customWidth="1"/>
    <col min="14851" max="14851" width="7.33203125" customWidth="1"/>
    <col min="14852" max="14853" width="6.33203125" customWidth="1"/>
    <col min="14854" max="14854" width="9" customWidth="1"/>
    <col min="14855" max="14855" width="6.6640625" customWidth="1"/>
    <col min="14856" max="14856" width="12.1640625" customWidth="1"/>
    <col min="14857" max="14857" width="36" customWidth="1"/>
    <col min="14858" max="14858" width="18" customWidth="1"/>
    <col min="14859" max="15104" width="8.83203125" customWidth="1"/>
    <col min="15105" max="15105" width="5.6640625" customWidth="1"/>
    <col min="15106" max="15106" width="25" customWidth="1"/>
    <col min="15107" max="15107" width="7.33203125" customWidth="1"/>
    <col min="15108" max="15109" width="6.33203125" customWidth="1"/>
    <col min="15110" max="15110" width="9" customWidth="1"/>
    <col min="15111" max="15111" width="6.6640625" customWidth="1"/>
    <col min="15112" max="15112" width="12.1640625" customWidth="1"/>
    <col min="15113" max="15113" width="36" customWidth="1"/>
    <col min="15114" max="15114" width="18" customWidth="1"/>
    <col min="15115" max="15360" width="8.83203125" customWidth="1"/>
    <col min="15361" max="15361" width="5.6640625" customWidth="1"/>
    <col min="15362" max="15362" width="25" customWidth="1"/>
    <col min="15363" max="15363" width="7.33203125" customWidth="1"/>
    <col min="15364" max="15365" width="6.33203125" customWidth="1"/>
    <col min="15366" max="15366" width="9" customWidth="1"/>
    <col min="15367" max="15367" width="6.6640625" customWidth="1"/>
    <col min="15368" max="15368" width="12.1640625" customWidth="1"/>
    <col min="15369" max="15369" width="36" customWidth="1"/>
    <col min="15370" max="15370" width="18" customWidth="1"/>
    <col min="15371" max="15616" width="8.83203125" customWidth="1"/>
    <col min="15617" max="15617" width="5.6640625" customWidth="1"/>
    <col min="15618" max="15618" width="25" customWidth="1"/>
    <col min="15619" max="15619" width="7.33203125" customWidth="1"/>
    <col min="15620" max="15621" width="6.33203125" customWidth="1"/>
    <col min="15622" max="15622" width="9" customWidth="1"/>
    <col min="15623" max="15623" width="6.6640625" customWidth="1"/>
    <col min="15624" max="15624" width="12.1640625" customWidth="1"/>
    <col min="15625" max="15625" width="36" customWidth="1"/>
    <col min="15626" max="15626" width="18" customWidth="1"/>
    <col min="15627" max="15872" width="8.83203125" customWidth="1"/>
    <col min="15873" max="15873" width="5.6640625" customWidth="1"/>
    <col min="15874" max="15874" width="25" customWidth="1"/>
    <col min="15875" max="15875" width="7.33203125" customWidth="1"/>
    <col min="15876" max="15877" width="6.33203125" customWidth="1"/>
    <col min="15878" max="15878" width="9" customWidth="1"/>
    <col min="15879" max="15879" width="6.6640625" customWidth="1"/>
    <col min="15880" max="15880" width="12.1640625" customWidth="1"/>
    <col min="15881" max="15881" width="36" customWidth="1"/>
    <col min="15882" max="15882" width="18" customWidth="1"/>
    <col min="15883" max="16128" width="8.83203125" customWidth="1"/>
    <col min="16129" max="16129" width="5.6640625" customWidth="1"/>
    <col min="16130" max="16130" width="25" customWidth="1"/>
    <col min="16131" max="16131" width="7.33203125" customWidth="1"/>
    <col min="16132" max="16133" width="6.33203125" customWidth="1"/>
    <col min="16134" max="16134" width="9" customWidth="1"/>
    <col min="16135" max="16135" width="6.6640625" customWidth="1"/>
    <col min="16136" max="16136" width="12.1640625" customWidth="1"/>
    <col min="16137" max="16137" width="36" customWidth="1"/>
    <col min="16138" max="16138" width="18" customWidth="1"/>
    <col min="16139" max="16384" width="8.83203125" customWidth="1"/>
  </cols>
  <sheetData>
    <row r="1" spans="1:63" ht="16">
      <c r="A1" s="1905" t="s">
        <v>1158</v>
      </c>
      <c r="B1" s="1905"/>
      <c r="F1" s="802"/>
      <c r="BK1" s="803">
        <v>1.3</v>
      </c>
    </row>
    <row r="2" spans="1:63" ht="16">
      <c r="A2" s="1905" t="s">
        <v>1009</v>
      </c>
      <c r="B2" s="1905"/>
      <c r="J2" s="1828" t="s">
        <v>1660</v>
      </c>
    </row>
    <row r="3" spans="1:63" ht="18">
      <c r="A3" s="2023" t="s">
        <v>1159</v>
      </c>
      <c r="B3" s="2023"/>
      <c r="C3" s="2023"/>
      <c r="D3" s="2023"/>
      <c r="E3" s="2023"/>
      <c r="F3" s="2023"/>
      <c r="G3" s="2023"/>
      <c r="H3" s="2023"/>
      <c r="I3" s="2023"/>
      <c r="J3" s="2023"/>
    </row>
    <row r="4" spans="1:63" ht="18">
      <c r="A4" s="2023" t="s">
        <v>1160</v>
      </c>
      <c r="B4" s="2023"/>
      <c r="C4" s="2023"/>
      <c r="D4" s="2023"/>
      <c r="E4" s="2023"/>
      <c r="F4" s="2023"/>
      <c r="G4" s="2023"/>
      <c r="H4" s="2023"/>
      <c r="I4" s="2023"/>
      <c r="J4" s="2023"/>
    </row>
    <row r="5" spans="1:63" ht="14" thickBot="1"/>
    <row r="6" spans="1:63" ht="59.25" customHeight="1" thickTop="1">
      <c r="A6" s="1405" t="s">
        <v>0</v>
      </c>
      <c r="B6" s="1406" t="s">
        <v>1012</v>
      </c>
      <c r="C6" s="1407" t="s">
        <v>1</v>
      </c>
      <c r="D6" s="1407" t="s">
        <v>1161</v>
      </c>
      <c r="E6" s="1407" t="s">
        <v>1162</v>
      </c>
      <c r="F6" s="1407" t="s">
        <v>1163</v>
      </c>
      <c r="G6" s="1407" t="s">
        <v>1164</v>
      </c>
      <c r="H6" s="1406" t="s">
        <v>28</v>
      </c>
      <c r="I6" s="1407" t="s">
        <v>1018</v>
      </c>
      <c r="J6" s="1409" t="s">
        <v>1165</v>
      </c>
    </row>
    <row r="7" spans="1:63" s="78" customFormat="1">
      <c r="A7" s="1594" t="s">
        <v>5</v>
      </c>
      <c r="B7" s="1595" t="s">
        <v>18</v>
      </c>
      <c r="C7" s="1595" t="s">
        <v>417</v>
      </c>
      <c r="D7" s="1596">
        <v>1</v>
      </c>
      <c r="E7" s="1595">
        <v>2</v>
      </c>
      <c r="F7" s="1595">
        <v>3</v>
      </c>
      <c r="G7" s="1595">
        <v>4</v>
      </c>
      <c r="H7" s="1595"/>
      <c r="I7" s="1595"/>
      <c r="J7" s="1597"/>
    </row>
    <row r="8" spans="1:63" s="78" customFormat="1" ht="24.75" customHeight="1">
      <c r="A8" s="1594" t="s">
        <v>5</v>
      </c>
      <c r="B8" s="1598" t="s">
        <v>1022</v>
      </c>
      <c r="C8" s="1596"/>
      <c r="D8" s="1596"/>
      <c r="E8" s="1596"/>
      <c r="F8" s="1596"/>
      <c r="G8" s="1596"/>
      <c r="H8" s="1599"/>
      <c r="I8" s="1596"/>
      <c r="J8" s="1600"/>
    </row>
    <row r="9" spans="1:63" s="78" customFormat="1" ht="38.25" customHeight="1">
      <c r="A9" s="1594">
        <v>1</v>
      </c>
      <c r="B9" s="1601" t="s">
        <v>1166</v>
      </c>
      <c r="C9" s="1602" t="s">
        <v>1024</v>
      </c>
      <c r="D9" s="1603">
        <v>2</v>
      </c>
      <c r="E9" s="1603">
        <v>197</v>
      </c>
      <c r="F9" s="1604">
        <v>225000</v>
      </c>
      <c r="G9" s="1605" t="s">
        <v>1167</v>
      </c>
      <c r="H9" s="1606">
        <v>124110000</v>
      </c>
      <c r="I9" s="1603" t="s">
        <v>1168</v>
      </c>
      <c r="J9" s="1607"/>
    </row>
    <row r="10" spans="1:63" s="78" customFormat="1" ht="22.5" customHeight="1">
      <c r="A10" s="1608" t="s">
        <v>18</v>
      </c>
      <c r="B10" s="1609" t="s">
        <v>1169</v>
      </c>
      <c r="C10" s="1603"/>
      <c r="D10" s="1603"/>
      <c r="E10" s="1603"/>
      <c r="F10" s="1603"/>
      <c r="G10" s="1603"/>
      <c r="H10" s="1610">
        <v>99288000</v>
      </c>
      <c r="I10" s="1603"/>
      <c r="J10" s="1611"/>
      <c r="K10" s="82"/>
    </row>
    <row r="11" spans="1:63" s="1617" customFormat="1" ht="21" customHeight="1">
      <c r="A11" s="1612" t="s">
        <v>6</v>
      </c>
      <c r="B11" s="1613" t="s">
        <v>1170</v>
      </c>
      <c r="C11" s="1603"/>
      <c r="D11" s="1603"/>
      <c r="E11" s="1603"/>
      <c r="F11" s="1603"/>
      <c r="G11" s="1603"/>
      <c r="H11" s="1614"/>
      <c r="I11" s="1603"/>
      <c r="J11" s="1615"/>
      <c r="K11" s="1616"/>
    </row>
    <row r="12" spans="1:63" s="1617" customFormat="1" ht="34.5" customHeight="1">
      <c r="A12" s="1618">
        <v>1</v>
      </c>
      <c r="B12" s="1641" t="s">
        <v>1171</v>
      </c>
      <c r="C12" s="1603" t="s">
        <v>1172</v>
      </c>
      <c r="D12" s="1603"/>
      <c r="E12" s="1603"/>
      <c r="F12" s="1603"/>
      <c r="G12" s="1603"/>
      <c r="H12" s="1619">
        <v>24360000</v>
      </c>
      <c r="I12" s="1603"/>
      <c r="J12" s="1607"/>
    </row>
    <row r="13" spans="1:63" s="1617" customFormat="1" ht="29.25" customHeight="1">
      <c r="A13" s="1618">
        <v>1.1000000000000001</v>
      </c>
      <c r="B13" s="1620" t="s">
        <v>1173</v>
      </c>
      <c r="C13" s="1621"/>
      <c r="D13" s="1603"/>
      <c r="E13" s="1603"/>
      <c r="F13" s="1603"/>
      <c r="G13" s="1603"/>
      <c r="H13" s="1610"/>
      <c r="I13" s="1622" t="s">
        <v>1174</v>
      </c>
      <c r="J13" s="1611" t="s">
        <v>1175</v>
      </c>
      <c r="K13" s="1616"/>
    </row>
    <row r="14" spans="1:63" s="1617" customFormat="1" ht="35.25" customHeight="1">
      <c r="A14" s="1623"/>
      <c r="B14" s="1622" t="s">
        <v>1176</v>
      </c>
      <c r="C14" s="1621" t="s">
        <v>1177</v>
      </c>
      <c r="D14" s="1624">
        <v>2</v>
      </c>
      <c r="E14" s="1603">
        <v>25</v>
      </c>
      <c r="F14" s="1604">
        <v>90000</v>
      </c>
      <c r="G14" s="1603"/>
      <c r="H14" s="1604">
        <v>2700000</v>
      </c>
      <c r="I14" s="1603"/>
      <c r="J14" s="1611" t="s">
        <v>1178</v>
      </c>
      <c r="K14" s="1616"/>
    </row>
    <row r="15" spans="1:63" s="1631" customFormat="1" ht="23" customHeight="1">
      <c r="A15" s="1625"/>
      <c r="B15" s="1626" t="s">
        <v>1179</v>
      </c>
      <c r="C15" s="1621" t="s">
        <v>1177</v>
      </c>
      <c r="D15" s="1627">
        <v>2</v>
      </c>
      <c r="E15" s="857">
        <v>25</v>
      </c>
      <c r="F15" s="1628">
        <v>90000</v>
      </c>
      <c r="G15" s="853"/>
      <c r="H15" s="1628">
        <v>2700000</v>
      </c>
      <c r="I15" s="853"/>
      <c r="J15" s="1629"/>
      <c r="K15" s="1630"/>
    </row>
    <row r="16" spans="1:63" s="1617" customFormat="1" ht="17">
      <c r="A16" s="1623">
        <v>1.2</v>
      </c>
      <c r="B16" s="1620" t="s">
        <v>1180</v>
      </c>
      <c r="C16" s="1621"/>
      <c r="D16" s="1624"/>
      <c r="E16" s="1603"/>
      <c r="F16" s="1604"/>
      <c r="G16" s="1603"/>
      <c r="H16" s="1604"/>
      <c r="I16" s="1603" t="s">
        <v>1181</v>
      </c>
      <c r="J16" s="1607"/>
    </row>
    <row r="17" spans="1:18" s="1631" customFormat="1" ht="18.75" customHeight="1">
      <c r="A17" s="1625"/>
      <c r="B17" s="1622" t="s">
        <v>1182</v>
      </c>
      <c r="C17" s="1621" t="s">
        <v>1177</v>
      </c>
      <c r="D17" s="1624">
        <v>2</v>
      </c>
      <c r="E17" s="857">
        <v>25</v>
      </c>
      <c r="F17" s="1628">
        <v>80000</v>
      </c>
      <c r="G17" s="853"/>
      <c r="H17" s="1628">
        <v>2400000</v>
      </c>
      <c r="I17" s="853"/>
      <c r="J17" s="1632"/>
    </row>
    <row r="18" spans="1:18" s="1617" customFormat="1" ht="18.75" customHeight="1">
      <c r="A18" s="1618"/>
      <c r="B18" s="1626" t="s">
        <v>1183</v>
      </c>
      <c r="C18" s="1602" t="s">
        <v>1177</v>
      </c>
      <c r="D18" s="1603">
        <v>2</v>
      </c>
      <c r="E18" s="1603">
        <v>25</v>
      </c>
      <c r="F18" s="1604">
        <v>80000</v>
      </c>
      <c r="G18" s="1603"/>
      <c r="H18" s="1604">
        <v>2400000</v>
      </c>
      <c r="I18" s="1603" t="s">
        <v>1184</v>
      </c>
      <c r="J18" s="1607"/>
    </row>
    <row r="19" spans="1:18" s="1617" customFormat="1" ht="23" customHeight="1">
      <c r="A19" s="1612">
        <v>1.3</v>
      </c>
      <c r="B19" s="1620" t="s">
        <v>1185</v>
      </c>
      <c r="C19" s="1602"/>
      <c r="D19" s="1603"/>
      <c r="E19" s="1603"/>
      <c r="F19" s="1604"/>
      <c r="G19" s="1603"/>
      <c r="H19" s="1604"/>
      <c r="I19" s="1603" t="s">
        <v>1186</v>
      </c>
      <c r="J19" s="1607"/>
    </row>
    <row r="20" spans="1:18" s="1617" customFormat="1" ht="23" customHeight="1">
      <c r="A20" s="1618"/>
      <c r="B20" s="1603" t="s">
        <v>1187</v>
      </c>
      <c r="C20" s="1621" t="s">
        <v>1177</v>
      </c>
      <c r="D20" s="1603">
        <v>2</v>
      </c>
      <c r="E20" s="1603">
        <v>25</v>
      </c>
      <c r="F20" s="1604">
        <v>80000</v>
      </c>
      <c r="G20" s="1603"/>
      <c r="H20" s="1604">
        <v>2400000</v>
      </c>
      <c r="I20" s="1603"/>
      <c r="J20" s="1607"/>
    </row>
    <row r="21" spans="1:18" s="1631" customFormat="1" ht="23" customHeight="1">
      <c r="A21" s="1612">
        <v>1.4</v>
      </c>
      <c r="B21" s="853" t="s">
        <v>1188</v>
      </c>
      <c r="C21" s="1109"/>
      <c r="D21" s="853"/>
      <c r="E21" s="853"/>
      <c r="F21" s="1614"/>
      <c r="G21" s="853"/>
      <c r="H21" s="1614"/>
      <c r="I21" s="853"/>
      <c r="J21" s="1632"/>
    </row>
    <row r="22" spans="1:18" s="1617" customFormat="1" ht="23" customHeight="1">
      <c r="A22" s="1618"/>
      <c r="B22" s="1603" t="s">
        <v>1189</v>
      </c>
      <c r="C22" s="1602" t="s">
        <v>1177</v>
      </c>
      <c r="D22" s="1603">
        <v>2</v>
      </c>
      <c r="E22" s="1603">
        <v>25</v>
      </c>
      <c r="F22" s="1604">
        <v>90000</v>
      </c>
      <c r="G22" s="1603"/>
      <c r="H22" s="1604">
        <v>2700000</v>
      </c>
      <c r="I22" s="1603"/>
      <c r="J22" s="1607"/>
      <c r="L22" s="1633"/>
    </row>
    <row r="23" spans="1:18" s="1631" customFormat="1" ht="23" customHeight="1">
      <c r="A23" s="1612">
        <v>1.5</v>
      </c>
      <c r="B23" s="853" t="s">
        <v>1190</v>
      </c>
      <c r="C23" s="1109"/>
      <c r="D23" s="853"/>
      <c r="E23" s="853"/>
      <c r="F23" s="1614"/>
      <c r="G23" s="853"/>
      <c r="H23" s="1614"/>
      <c r="I23" s="853"/>
      <c r="J23" s="1632"/>
    </row>
    <row r="24" spans="1:18" s="1617" customFormat="1" ht="23" customHeight="1">
      <c r="A24" s="1618"/>
      <c r="B24" s="1603" t="s">
        <v>1191</v>
      </c>
      <c r="C24" s="1602" t="s">
        <v>1177</v>
      </c>
      <c r="D24" s="1603">
        <v>2</v>
      </c>
      <c r="E24" s="1603">
        <v>25</v>
      </c>
      <c r="F24" s="1604">
        <v>80000</v>
      </c>
      <c r="G24" s="1603"/>
      <c r="H24" s="1628">
        <v>2400000</v>
      </c>
      <c r="I24" s="1603"/>
      <c r="J24" s="1607"/>
    </row>
    <row r="25" spans="1:18" s="1617" customFormat="1" ht="23" customHeight="1">
      <c r="A25" s="1618">
        <v>1.6</v>
      </c>
      <c r="B25" s="853" t="s">
        <v>576</v>
      </c>
      <c r="C25" s="1602"/>
      <c r="D25" s="1603"/>
      <c r="E25" s="1603"/>
      <c r="F25" s="1604"/>
      <c r="G25" s="1603"/>
      <c r="H25" s="1604"/>
      <c r="I25" s="1603"/>
      <c r="J25" s="1607"/>
    </row>
    <row r="26" spans="1:18" s="1617" customFormat="1" ht="23" customHeight="1">
      <c r="A26" s="1618"/>
      <c r="B26" s="1603" t="s">
        <v>1192</v>
      </c>
      <c r="C26" s="1602" t="s">
        <v>1177</v>
      </c>
      <c r="D26" s="1603">
        <v>2</v>
      </c>
      <c r="E26" s="1603">
        <v>22</v>
      </c>
      <c r="F26" s="1604">
        <v>66000</v>
      </c>
      <c r="G26" s="1603"/>
      <c r="H26" s="1628">
        <v>2400000</v>
      </c>
      <c r="I26" s="1603"/>
      <c r="J26" s="1607"/>
    </row>
    <row r="27" spans="1:18" s="1617" customFormat="1" ht="23" customHeight="1">
      <c r="A27" s="1588" t="s">
        <v>7</v>
      </c>
      <c r="B27" s="853" t="s">
        <v>1193</v>
      </c>
      <c r="C27" s="857" t="s">
        <v>1194</v>
      </c>
      <c r="D27" s="857">
        <v>2</v>
      </c>
      <c r="E27" s="857">
        <v>197</v>
      </c>
      <c r="F27" s="1628">
        <v>6000</v>
      </c>
      <c r="G27" s="857"/>
      <c r="H27" s="1606">
        <v>1182000</v>
      </c>
      <c r="I27" s="857" t="s">
        <v>1111</v>
      </c>
      <c r="J27" s="1607"/>
      <c r="R27" s="814" t="s">
        <v>1195</v>
      </c>
    </row>
    <row r="28" spans="1:18" s="1617" customFormat="1" ht="23" customHeight="1">
      <c r="A28" s="1588" t="s">
        <v>24</v>
      </c>
      <c r="B28" s="853" t="s">
        <v>1196</v>
      </c>
      <c r="C28" s="857"/>
      <c r="D28" s="857"/>
      <c r="E28" s="857"/>
      <c r="F28" s="857"/>
      <c r="G28" s="857"/>
      <c r="H28" s="1606">
        <v>38100000</v>
      </c>
      <c r="I28" s="857"/>
      <c r="J28" s="1607"/>
    </row>
    <row r="29" spans="1:18" s="1617" customFormat="1" ht="23" customHeight="1">
      <c r="A29" s="1634">
        <v>1.1000000000000001</v>
      </c>
      <c r="B29" s="1613" t="s">
        <v>1197</v>
      </c>
      <c r="C29" s="1603"/>
      <c r="D29" s="1603"/>
      <c r="E29" s="1603"/>
      <c r="F29" s="1603"/>
      <c r="G29" s="1603"/>
      <c r="H29" s="1614">
        <v>4800000</v>
      </c>
      <c r="I29" s="1603" t="s">
        <v>1198</v>
      </c>
      <c r="J29" s="1607"/>
    </row>
    <row r="30" spans="1:18" s="1617" customFormat="1" ht="23" customHeight="1">
      <c r="A30" s="1618"/>
      <c r="B30" s="1603" t="s">
        <v>1195</v>
      </c>
      <c r="C30" s="1603" t="s">
        <v>1199</v>
      </c>
      <c r="D30" s="1603"/>
      <c r="E30" s="1603">
        <v>1</v>
      </c>
      <c r="F30" s="1604">
        <v>450000</v>
      </c>
      <c r="G30" s="1603"/>
      <c r="H30" s="1628">
        <f t="shared" ref="H30:H36" si="0">E30*F30</f>
        <v>450000</v>
      </c>
      <c r="I30" s="1603"/>
      <c r="J30" s="1607"/>
    </row>
    <row r="31" spans="1:18" s="1617" customFormat="1" ht="23" customHeight="1">
      <c r="A31" s="1618"/>
      <c r="B31" s="1603" t="s">
        <v>1200</v>
      </c>
      <c r="C31" s="1603" t="s">
        <v>1201</v>
      </c>
      <c r="D31" s="1603"/>
      <c r="E31" s="1603">
        <v>4</v>
      </c>
      <c r="F31" s="1604">
        <v>50000</v>
      </c>
      <c r="G31" s="1603"/>
      <c r="H31" s="1628">
        <f t="shared" si="0"/>
        <v>200000</v>
      </c>
      <c r="I31" s="1603"/>
      <c r="J31" s="1607"/>
    </row>
    <row r="32" spans="1:18" s="1617" customFormat="1" ht="23" customHeight="1">
      <c r="A32" s="1618"/>
      <c r="B32" s="1603" t="s">
        <v>1202</v>
      </c>
      <c r="C32" s="1603" t="s">
        <v>1024</v>
      </c>
      <c r="D32" s="1603"/>
      <c r="E32" s="1603">
        <v>25</v>
      </c>
      <c r="F32" s="1604">
        <v>30000</v>
      </c>
      <c r="G32" s="1603"/>
      <c r="H32" s="1628">
        <v>750000</v>
      </c>
      <c r="I32" s="1603"/>
      <c r="J32" s="1607"/>
    </row>
    <row r="33" spans="1:10" s="1617" customFormat="1" ht="23" customHeight="1">
      <c r="A33" s="1618"/>
      <c r="B33" s="1603" t="s">
        <v>1203</v>
      </c>
      <c r="C33" s="1603" t="s">
        <v>1177</v>
      </c>
      <c r="D33" s="1603"/>
      <c r="E33" s="1603">
        <v>28</v>
      </c>
      <c r="F33" s="1604">
        <v>50000</v>
      </c>
      <c r="G33" s="1603"/>
      <c r="H33" s="1628">
        <v>1400000</v>
      </c>
      <c r="I33" s="1603"/>
      <c r="J33" s="1607"/>
    </row>
    <row r="34" spans="1:10" s="1617" customFormat="1" ht="23" customHeight="1">
      <c r="A34" s="1618"/>
      <c r="B34" s="1603" t="s">
        <v>1204</v>
      </c>
      <c r="C34" s="1603" t="s">
        <v>1205</v>
      </c>
      <c r="D34" s="1603"/>
      <c r="E34" s="1603">
        <v>25</v>
      </c>
      <c r="F34" s="1604">
        <v>40000</v>
      </c>
      <c r="G34" s="1603"/>
      <c r="H34" s="1628">
        <v>1000000</v>
      </c>
      <c r="I34" s="1603"/>
      <c r="J34" s="1607"/>
    </row>
    <row r="35" spans="1:10" s="1617" customFormat="1" ht="23" customHeight="1">
      <c r="A35" s="1618"/>
      <c r="B35" s="1603" t="s">
        <v>1206</v>
      </c>
      <c r="C35" s="1603" t="s">
        <v>1024</v>
      </c>
      <c r="D35" s="1603"/>
      <c r="E35" s="1603">
        <v>25</v>
      </c>
      <c r="F35" s="1604">
        <v>30000</v>
      </c>
      <c r="G35" s="1603"/>
      <c r="H35" s="1628">
        <f t="shared" si="0"/>
        <v>750000</v>
      </c>
      <c r="I35" s="1603"/>
      <c r="J35" s="1607"/>
    </row>
    <row r="36" spans="1:10" s="1617" customFormat="1" ht="23" customHeight="1">
      <c r="A36" s="1618"/>
      <c r="B36" s="1603" t="s">
        <v>1207</v>
      </c>
      <c r="C36" s="1603" t="s">
        <v>1208</v>
      </c>
      <c r="D36" s="1603"/>
      <c r="E36" s="1603">
        <v>5</v>
      </c>
      <c r="F36" s="1604">
        <v>50000</v>
      </c>
      <c r="G36" s="1603"/>
      <c r="H36" s="1628">
        <f t="shared" si="0"/>
        <v>250000</v>
      </c>
      <c r="I36" s="1603"/>
      <c r="J36" s="1607"/>
    </row>
    <row r="37" spans="1:10" s="1617" customFormat="1" ht="23" customHeight="1">
      <c r="A37" s="1618">
        <v>1.2</v>
      </c>
      <c r="B37" s="1613" t="s">
        <v>1209</v>
      </c>
      <c r="C37" s="1603"/>
      <c r="D37" s="1603"/>
      <c r="E37" s="1603"/>
      <c r="F37" s="1603"/>
      <c r="G37" s="1603"/>
      <c r="H37" s="1614">
        <f>SUM(H30:H36)</f>
        <v>4800000</v>
      </c>
      <c r="I37" s="1603" t="s">
        <v>1198</v>
      </c>
      <c r="J37" s="1607"/>
    </row>
    <row r="38" spans="1:10" s="1617" customFormat="1" ht="23" customHeight="1">
      <c r="A38" s="1618"/>
      <c r="B38" s="1603" t="s">
        <v>1195</v>
      </c>
      <c r="C38" s="1603" t="s">
        <v>1199</v>
      </c>
      <c r="D38" s="1603"/>
      <c r="E38" s="1603">
        <v>1</v>
      </c>
      <c r="F38" s="1604">
        <v>450000</v>
      </c>
      <c r="G38" s="1603"/>
      <c r="H38" s="1628">
        <f>E38*F38</f>
        <v>450000</v>
      </c>
      <c r="I38" s="1603"/>
      <c r="J38" s="1607"/>
    </row>
    <row r="39" spans="1:10" s="1617" customFormat="1" ht="23" customHeight="1">
      <c r="A39" s="1618"/>
      <c r="B39" s="1603" t="s">
        <v>1200</v>
      </c>
      <c r="C39" s="1603" t="s">
        <v>1201</v>
      </c>
      <c r="D39" s="1603"/>
      <c r="E39" s="1603">
        <v>4</v>
      </c>
      <c r="F39" s="1604">
        <v>50000</v>
      </c>
      <c r="G39" s="1603"/>
      <c r="H39" s="1628">
        <f>E39*F39</f>
        <v>200000</v>
      </c>
      <c r="I39" s="1603"/>
      <c r="J39" s="1607"/>
    </row>
    <row r="40" spans="1:10" s="1617" customFormat="1" ht="23" customHeight="1">
      <c r="A40" s="1618"/>
      <c r="B40" s="1603" t="s">
        <v>1202</v>
      </c>
      <c r="C40" s="1603" t="s">
        <v>1024</v>
      </c>
      <c r="D40" s="1603"/>
      <c r="E40" s="1603">
        <v>25</v>
      </c>
      <c r="F40" s="1604">
        <v>30000</v>
      </c>
      <c r="G40" s="1603"/>
      <c r="H40" s="1628">
        <v>750000</v>
      </c>
      <c r="I40" s="1603"/>
      <c r="J40" s="1607"/>
    </row>
    <row r="41" spans="1:10" s="1617" customFormat="1" ht="23" customHeight="1">
      <c r="A41" s="1618"/>
      <c r="B41" s="1603" t="s">
        <v>1203</v>
      </c>
      <c r="C41" s="1603" t="s">
        <v>1177</v>
      </c>
      <c r="D41" s="1603"/>
      <c r="E41" s="1603">
        <v>28</v>
      </c>
      <c r="F41" s="1604">
        <v>50000</v>
      </c>
      <c r="G41" s="1603"/>
      <c r="H41" s="1628">
        <v>1400000</v>
      </c>
      <c r="I41" s="1603"/>
      <c r="J41" s="1607"/>
    </row>
    <row r="42" spans="1:10" s="1617" customFormat="1" ht="23" customHeight="1">
      <c r="A42" s="1618"/>
      <c r="B42" s="1603" t="s">
        <v>1204</v>
      </c>
      <c r="C42" s="1603" t="s">
        <v>1205</v>
      </c>
      <c r="D42" s="1603"/>
      <c r="E42" s="1603">
        <v>25</v>
      </c>
      <c r="F42" s="1604">
        <v>40000</v>
      </c>
      <c r="G42" s="1603"/>
      <c r="H42" s="1628">
        <v>1000000</v>
      </c>
      <c r="I42" s="1603"/>
      <c r="J42" s="1607"/>
    </row>
    <row r="43" spans="1:10" s="1617" customFormat="1" ht="23" customHeight="1">
      <c r="A43" s="1618"/>
      <c r="B43" s="1603" t="s">
        <v>1206</v>
      </c>
      <c r="C43" s="1603" t="s">
        <v>1024</v>
      </c>
      <c r="D43" s="1603"/>
      <c r="E43" s="1603">
        <v>25</v>
      </c>
      <c r="F43" s="1604">
        <v>30000</v>
      </c>
      <c r="G43" s="1603"/>
      <c r="H43" s="1628">
        <f>E43*F43</f>
        <v>750000</v>
      </c>
      <c r="I43" s="1603"/>
      <c r="J43" s="1607"/>
    </row>
    <row r="44" spans="1:10" s="1617" customFormat="1" ht="23" customHeight="1">
      <c r="A44" s="1618"/>
      <c r="B44" s="1603" t="s">
        <v>1207</v>
      </c>
      <c r="C44" s="1603" t="s">
        <v>1208</v>
      </c>
      <c r="D44" s="1603"/>
      <c r="E44" s="1603">
        <v>5</v>
      </c>
      <c r="F44" s="1604">
        <v>50000</v>
      </c>
      <c r="G44" s="1603"/>
      <c r="H44" s="1628">
        <f>E44*F44</f>
        <v>250000</v>
      </c>
      <c r="I44" s="1603"/>
      <c r="J44" s="1607"/>
    </row>
    <row r="45" spans="1:10" s="1617" customFormat="1" ht="23" customHeight="1">
      <c r="A45" s="1618">
        <v>1.3</v>
      </c>
      <c r="B45" s="1613" t="s">
        <v>1210</v>
      </c>
      <c r="C45" s="1603"/>
      <c r="D45" s="1603"/>
      <c r="E45" s="1603"/>
      <c r="F45" s="1603"/>
      <c r="G45" s="1603"/>
      <c r="H45" s="1614">
        <f>SUM(H38:H44)</f>
        <v>4800000</v>
      </c>
      <c r="I45" s="1603" t="s">
        <v>1198</v>
      </c>
      <c r="J45" s="1607"/>
    </row>
    <row r="46" spans="1:10" s="1617" customFormat="1" ht="23" customHeight="1">
      <c r="A46" s="1618"/>
      <c r="B46" s="1603" t="s">
        <v>1195</v>
      </c>
      <c r="C46" s="1603" t="s">
        <v>1199</v>
      </c>
      <c r="D46" s="1603"/>
      <c r="E46" s="1603">
        <v>1</v>
      </c>
      <c r="F46" s="1604">
        <v>450000</v>
      </c>
      <c r="G46" s="1603"/>
      <c r="H46" s="1628">
        <f>E46*F46</f>
        <v>450000</v>
      </c>
      <c r="I46" s="1603"/>
      <c r="J46" s="1607"/>
    </row>
    <row r="47" spans="1:10" s="1617" customFormat="1" ht="23" customHeight="1">
      <c r="A47" s="1618"/>
      <c r="B47" s="1603" t="s">
        <v>1200</v>
      </c>
      <c r="C47" s="1603" t="s">
        <v>1201</v>
      </c>
      <c r="D47" s="1603"/>
      <c r="E47" s="1603">
        <v>4</v>
      </c>
      <c r="F47" s="1604">
        <v>50000</v>
      </c>
      <c r="G47" s="1603"/>
      <c r="H47" s="1628">
        <f>E47*F47</f>
        <v>200000</v>
      </c>
      <c r="I47" s="1603"/>
      <c r="J47" s="1607"/>
    </row>
    <row r="48" spans="1:10" s="1617" customFormat="1" ht="23" customHeight="1">
      <c r="A48" s="1618"/>
      <c r="B48" s="1603" t="s">
        <v>1202</v>
      </c>
      <c r="C48" s="1603" t="s">
        <v>1024</v>
      </c>
      <c r="D48" s="1603"/>
      <c r="E48" s="1603">
        <v>25</v>
      </c>
      <c r="F48" s="1604">
        <v>30000</v>
      </c>
      <c r="G48" s="1603"/>
      <c r="H48" s="1628">
        <v>750000</v>
      </c>
      <c r="I48" s="1603"/>
      <c r="J48" s="1607"/>
    </row>
    <row r="49" spans="1:10" s="1617" customFormat="1" ht="23" customHeight="1">
      <c r="A49" s="1618"/>
      <c r="B49" s="1603" t="s">
        <v>1203</v>
      </c>
      <c r="C49" s="1603" t="s">
        <v>1177</v>
      </c>
      <c r="D49" s="1603"/>
      <c r="E49" s="1603">
        <v>28</v>
      </c>
      <c r="F49" s="1604">
        <v>50000</v>
      </c>
      <c r="G49" s="1603"/>
      <c r="H49" s="1628">
        <v>1400000</v>
      </c>
      <c r="I49" s="1603"/>
      <c r="J49" s="1607"/>
    </row>
    <row r="50" spans="1:10" s="1617" customFormat="1" ht="23" customHeight="1">
      <c r="A50" s="1618"/>
      <c r="B50" s="1603" t="s">
        <v>1204</v>
      </c>
      <c r="C50" s="1603" t="s">
        <v>1205</v>
      </c>
      <c r="D50" s="1603"/>
      <c r="E50" s="1603">
        <v>25</v>
      </c>
      <c r="F50" s="1604">
        <v>40000</v>
      </c>
      <c r="G50" s="1603"/>
      <c r="H50" s="1628">
        <v>1000000</v>
      </c>
      <c r="I50" s="1603"/>
      <c r="J50" s="1607"/>
    </row>
    <row r="51" spans="1:10" s="1617" customFormat="1" ht="23" customHeight="1">
      <c r="A51" s="1618"/>
      <c r="B51" s="1603" t="s">
        <v>1206</v>
      </c>
      <c r="C51" s="1603" t="s">
        <v>1024</v>
      </c>
      <c r="D51" s="1603"/>
      <c r="E51" s="1603">
        <v>25</v>
      </c>
      <c r="F51" s="1604">
        <v>30000</v>
      </c>
      <c r="G51" s="1603"/>
      <c r="H51" s="1628">
        <f>E51*F51</f>
        <v>750000</v>
      </c>
      <c r="I51" s="1603"/>
      <c r="J51" s="1607"/>
    </row>
    <row r="52" spans="1:10" s="1617" customFormat="1" ht="23" customHeight="1">
      <c r="A52" s="1618"/>
      <c r="B52" s="1603" t="s">
        <v>1207</v>
      </c>
      <c r="C52" s="1603" t="s">
        <v>1208</v>
      </c>
      <c r="D52" s="1603"/>
      <c r="E52" s="1603">
        <v>5</v>
      </c>
      <c r="F52" s="1604">
        <v>50000</v>
      </c>
      <c r="G52" s="1603"/>
      <c r="H52" s="1628">
        <f>E52*F52</f>
        <v>250000</v>
      </c>
      <c r="I52" s="1603"/>
      <c r="J52" s="1607"/>
    </row>
    <row r="53" spans="1:10" s="1617" customFormat="1" ht="23" customHeight="1">
      <c r="A53" s="1618">
        <v>1.4</v>
      </c>
      <c r="B53" s="1613" t="s">
        <v>1211</v>
      </c>
      <c r="C53" s="1603"/>
      <c r="D53" s="1603"/>
      <c r="E53" s="1603"/>
      <c r="F53" s="1603"/>
      <c r="G53" s="1603"/>
      <c r="H53" s="1614">
        <f>SUM(H46:H52)</f>
        <v>4800000</v>
      </c>
      <c r="I53" s="1603" t="s">
        <v>1198</v>
      </c>
      <c r="J53" s="1607"/>
    </row>
    <row r="54" spans="1:10" s="1617" customFormat="1" ht="23" customHeight="1">
      <c r="A54" s="1618"/>
      <c r="B54" s="1603" t="s">
        <v>1195</v>
      </c>
      <c r="C54" s="1603" t="s">
        <v>1199</v>
      </c>
      <c r="D54" s="1603"/>
      <c r="E54" s="1603">
        <v>1</v>
      </c>
      <c r="F54" s="1604">
        <v>450000</v>
      </c>
      <c r="G54" s="1603"/>
      <c r="H54" s="1628">
        <f>E54*F54</f>
        <v>450000</v>
      </c>
      <c r="I54" s="1603"/>
      <c r="J54" s="1607"/>
    </row>
    <row r="55" spans="1:10" s="1617" customFormat="1" ht="23" customHeight="1">
      <c r="A55" s="1618"/>
      <c r="B55" s="1603" t="s">
        <v>1200</v>
      </c>
      <c r="C55" s="1603" t="s">
        <v>1201</v>
      </c>
      <c r="D55" s="1603"/>
      <c r="E55" s="1603">
        <v>4</v>
      </c>
      <c r="F55" s="1604">
        <v>50000</v>
      </c>
      <c r="G55" s="1603"/>
      <c r="H55" s="1628">
        <f>E55*F55</f>
        <v>200000</v>
      </c>
      <c r="I55" s="1603"/>
      <c r="J55" s="1607"/>
    </row>
    <row r="56" spans="1:10" s="1617" customFormat="1" ht="23" customHeight="1">
      <c r="A56" s="1618"/>
      <c r="B56" s="1603" t="s">
        <v>1202</v>
      </c>
      <c r="C56" s="1603" t="s">
        <v>1024</v>
      </c>
      <c r="D56" s="1603"/>
      <c r="E56" s="1603">
        <v>25</v>
      </c>
      <c r="F56" s="1604">
        <v>30000</v>
      </c>
      <c r="G56" s="1603"/>
      <c r="H56" s="1628">
        <v>750000</v>
      </c>
      <c r="I56" s="1603"/>
      <c r="J56" s="1607"/>
    </row>
    <row r="57" spans="1:10" s="1617" customFormat="1" ht="23" customHeight="1">
      <c r="A57" s="1618"/>
      <c r="B57" s="1603" t="s">
        <v>1203</v>
      </c>
      <c r="C57" s="1603" t="s">
        <v>1177</v>
      </c>
      <c r="D57" s="1603"/>
      <c r="E57" s="1603">
        <v>28</v>
      </c>
      <c r="F57" s="1604">
        <v>50000</v>
      </c>
      <c r="G57" s="1603"/>
      <c r="H57" s="1628">
        <v>1400000</v>
      </c>
      <c r="I57" s="1603"/>
      <c r="J57" s="1607"/>
    </row>
    <row r="58" spans="1:10" s="1617" customFormat="1" ht="23" customHeight="1">
      <c r="A58" s="1618"/>
      <c r="B58" s="1603" t="s">
        <v>1204</v>
      </c>
      <c r="C58" s="1603" t="s">
        <v>1205</v>
      </c>
      <c r="D58" s="1603"/>
      <c r="E58" s="1603">
        <v>25</v>
      </c>
      <c r="F58" s="1604">
        <v>40000</v>
      </c>
      <c r="G58" s="1603"/>
      <c r="H58" s="1628">
        <v>1000000</v>
      </c>
      <c r="I58" s="1603"/>
      <c r="J58" s="1607"/>
    </row>
    <row r="59" spans="1:10" s="1617" customFormat="1" ht="23" customHeight="1">
      <c r="A59" s="1618"/>
      <c r="B59" s="1603" t="s">
        <v>1206</v>
      </c>
      <c r="C59" s="1603" t="s">
        <v>1024</v>
      </c>
      <c r="D59" s="1603"/>
      <c r="E59" s="1603">
        <v>25</v>
      </c>
      <c r="F59" s="1604">
        <v>30000</v>
      </c>
      <c r="G59" s="1603"/>
      <c r="H59" s="1628">
        <f>E59*F59</f>
        <v>750000</v>
      </c>
      <c r="I59" s="1603"/>
      <c r="J59" s="1607"/>
    </row>
    <row r="60" spans="1:10" s="1617" customFormat="1" ht="23" customHeight="1">
      <c r="A60" s="1618"/>
      <c r="B60" s="1603" t="s">
        <v>1207</v>
      </c>
      <c r="C60" s="1603" t="s">
        <v>1208</v>
      </c>
      <c r="D60" s="1603"/>
      <c r="E60" s="1603">
        <v>5</v>
      </c>
      <c r="F60" s="1604">
        <v>50000</v>
      </c>
      <c r="G60" s="1603"/>
      <c r="H60" s="1628">
        <f>E60*F60</f>
        <v>250000</v>
      </c>
      <c r="I60" s="1603"/>
      <c r="J60" s="1607"/>
    </row>
    <row r="61" spans="1:10" s="1617" customFormat="1" ht="23" customHeight="1">
      <c r="A61" s="1618">
        <v>1.5</v>
      </c>
      <c r="B61" s="1613" t="s">
        <v>1212</v>
      </c>
      <c r="C61" s="1603"/>
      <c r="D61" s="1603"/>
      <c r="E61" s="1603"/>
      <c r="F61" s="1603"/>
      <c r="G61" s="1603"/>
      <c r="H61" s="1614">
        <f>SUM(H54:H60)</f>
        <v>4800000</v>
      </c>
      <c r="I61" s="1603" t="s">
        <v>1198</v>
      </c>
      <c r="J61" s="1607"/>
    </row>
    <row r="62" spans="1:10" s="1617" customFormat="1" ht="23" customHeight="1">
      <c r="A62" s="1618"/>
      <c r="B62" s="1603" t="s">
        <v>1195</v>
      </c>
      <c r="C62" s="1603" t="s">
        <v>1199</v>
      </c>
      <c r="D62" s="1603"/>
      <c r="E62" s="1603">
        <v>1</v>
      </c>
      <c r="F62" s="1604">
        <v>450000</v>
      </c>
      <c r="G62" s="1603"/>
      <c r="H62" s="1628">
        <f>E62*F62</f>
        <v>450000</v>
      </c>
      <c r="I62" s="1603"/>
      <c r="J62" s="1607"/>
    </row>
    <row r="63" spans="1:10" s="1617" customFormat="1" ht="23" customHeight="1">
      <c r="A63" s="1618"/>
      <c r="B63" s="1603" t="s">
        <v>1200</v>
      </c>
      <c r="C63" s="1603" t="s">
        <v>1201</v>
      </c>
      <c r="D63" s="1603"/>
      <c r="E63" s="1603">
        <v>4</v>
      </c>
      <c r="F63" s="1604">
        <v>50000</v>
      </c>
      <c r="G63" s="1603"/>
      <c r="H63" s="1628">
        <f>E63*F63</f>
        <v>200000</v>
      </c>
      <c r="I63" s="1603"/>
      <c r="J63" s="1607"/>
    </row>
    <row r="64" spans="1:10" s="1617" customFormat="1" ht="23" customHeight="1">
      <c r="A64" s="1618"/>
      <c r="B64" s="1603" t="s">
        <v>1202</v>
      </c>
      <c r="C64" s="1603" t="s">
        <v>1024</v>
      </c>
      <c r="D64" s="1603"/>
      <c r="E64" s="1603">
        <v>25</v>
      </c>
      <c r="F64" s="1604">
        <v>30000</v>
      </c>
      <c r="G64" s="1603"/>
      <c r="H64" s="1628">
        <v>750000</v>
      </c>
      <c r="I64" s="1603"/>
      <c r="J64" s="1607"/>
    </row>
    <row r="65" spans="1:10" s="1617" customFormat="1" ht="23" customHeight="1">
      <c r="A65" s="1618"/>
      <c r="B65" s="1603" t="s">
        <v>1203</v>
      </c>
      <c r="C65" s="1603" t="s">
        <v>1177</v>
      </c>
      <c r="D65" s="1603"/>
      <c r="E65" s="1603">
        <v>28</v>
      </c>
      <c r="F65" s="1604">
        <v>50000</v>
      </c>
      <c r="G65" s="1603"/>
      <c r="H65" s="1628">
        <v>1400000</v>
      </c>
      <c r="I65" s="1603"/>
      <c r="J65" s="1607"/>
    </row>
    <row r="66" spans="1:10" s="1617" customFormat="1" ht="23" customHeight="1">
      <c r="A66" s="1618"/>
      <c r="B66" s="1603" t="s">
        <v>1204</v>
      </c>
      <c r="C66" s="1603" t="s">
        <v>1205</v>
      </c>
      <c r="D66" s="1603"/>
      <c r="E66" s="1603">
        <v>25</v>
      </c>
      <c r="F66" s="1604">
        <v>40000</v>
      </c>
      <c r="G66" s="1603"/>
      <c r="H66" s="1628">
        <v>1000000</v>
      </c>
      <c r="I66" s="1603"/>
      <c r="J66" s="1607"/>
    </row>
    <row r="67" spans="1:10" s="1617" customFormat="1" ht="23" customHeight="1">
      <c r="A67" s="1618"/>
      <c r="B67" s="1603" t="s">
        <v>1206</v>
      </c>
      <c r="C67" s="1603" t="s">
        <v>1024</v>
      </c>
      <c r="D67" s="1603"/>
      <c r="E67" s="1603">
        <v>25</v>
      </c>
      <c r="F67" s="1604">
        <v>30000</v>
      </c>
      <c r="G67" s="1603"/>
      <c r="H67" s="1628">
        <f>E67*F67</f>
        <v>750000</v>
      </c>
      <c r="I67" s="1603"/>
      <c r="J67" s="1607"/>
    </row>
    <row r="68" spans="1:10" s="1617" customFormat="1" ht="23" customHeight="1">
      <c r="A68" s="1618"/>
      <c r="B68" s="1603" t="s">
        <v>1207</v>
      </c>
      <c r="C68" s="1603" t="s">
        <v>1208</v>
      </c>
      <c r="D68" s="1603"/>
      <c r="E68" s="1603">
        <v>5</v>
      </c>
      <c r="F68" s="1604">
        <v>50000</v>
      </c>
      <c r="G68" s="1603"/>
      <c r="H68" s="1628">
        <f>E68*F68</f>
        <v>250000</v>
      </c>
      <c r="I68" s="1603"/>
      <c r="J68" s="1607"/>
    </row>
    <row r="69" spans="1:10" s="1617" customFormat="1" ht="23" customHeight="1">
      <c r="A69" s="1618">
        <v>1.6</v>
      </c>
      <c r="B69" s="1613" t="s">
        <v>1213</v>
      </c>
      <c r="C69" s="1603"/>
      <c r="D69" s="1603"/>
      <c r="E69" s="1603"/>
      <c r="F69" s="1603"/>
      <c r="G69" s="1603"/>
      <c r="H69" s="1614">
        <f>SUM(H62:H68)</f>
        <v>4800000</v>
      </c>
      <c r="I69" s="1603" t="s">
        <v>1198</v>
      </c>
      <c r="J69" s="1607"/>
    </row>
    <row r="70" spans="1:10" s="1617" customFormat="1" ht="23" customHeight="1">
      <c r="A70" s="1618"/>
      <c r="B70" s="1603" t="s">
        <v>1195</v>
      </c>
      <c r="C70" s="1603" t="s">
        <v>1199</v>
      </c>
      <c r="D70" s="1603"/>
      <c r="E70" s="1603">
        <v>1</v>
      </c>
      <c r="F70" s="1604">
        <v>450000</v>
      </c>
      <c r="G70" s="1603"/>
      <c r="H70" s="1628">
        <f>E70*F70</f>
        <v>450000</v>
      </c>
      <c r="I70" s="1603"/>
      <c r="J70" s="1607"/>
    </row>
    <row r="71" spans="1:10" s="1617" customFormat="1" ht="23" customHeight="1">
      <c r="A71" s="1618"/>
      <c r="B71" s="1603" t="s">
        <v>1200</v>
      </c>
      <c r="C71" s="1603" t="s">
        <v>1201</v>
      </c>
      <c r="D71" s="1603"/>
      <c r="E71" s="1603">
        <v>4</v>
      </c>
      <c r="F71" s="1604">
        <v>50000</v>
      </c>
      <c r="G71" s="1603"/>
      <c r="H71" s="1628">
        <f>E71*F71</f>
        <v>200000</v>
      </c>
      <c r="I71" s="1603"/>
      <c r="J71" s="1607"/>
    </row>
    <row r="72" spans="1:10" s="1617" customFormat="1" ht="23" customHeight="1">
      <c r="A72" s="1618"/>
      <c r="B72" s="1603" t="s">
        <v>1202</v>
      </c>
      <c r="C72" s="1603" t="s">
        <v>1024</v>
      </c>
      <c r="D72" s="1603"/>
      <c r="E72" s="1603">
        <v>25</v>
      </c>
      <c r="F72" s="1604">
        <v>30000</v>
      </c>
      <c r="G72" s="1603"/>
      <c r="H72" s="1628">
        <v>750000</v>
      </c>
      <c r="I72" s="1603"/>
      <c r="J72" s="1607"/>
    </row>
    <row r="73" spans="1:10" s="1617" customFormat="1" ht="23" customHeight="1">
      <c r="A73" s="1618"/>
      <c r="B73" s="1603" t="s">
        <v>1203</v>
      </c>
      <c r="C73" s="1603" t="s">
        <v>1177</v>
      </c>
      <c r="D73" s="1603"/>
      <c r="E73" s="1603">
        <v>28</v>
      </c>
      <c r="F73" s="1604">
        <v>50000</v>
      </c>
      <c r="G73" s="1603"/>
      <c r="H73" s="1628">
        <v>1400000</v>
      </c>
      <c r="I73" s="1603"/>
      <c r="J73" s="1607"/>
    </row>
    <row r="74" spans="1:10" s="1617" customFormat="1" ht="23" customHeight="1">
      <c r="A74" s="1618"/>
      <c r="B74" s="1603" t="s">
        <v>1204</v>
      </c>
      <c r="C74" s="1603" t="s">
        <v>1205</v>
      </c>
      <c r="D74" s="1603"/>
      <c r="E74" s="1603">
        <v>25</v>
      </c>
      <c r="F74" s="1604">
        <v>40000</v>
      </c>
      <c r="G74" s="1603"/>
      <c r="H74" s="1628">
        <v>1000000</v>
      </c>
      <c r="I74" s="1603"/>
      <c r="J74" s="1607"/>
    </row>
    <row r="75" spans="1:10" s="1617" customFormat="1" ht="23" customHeight="1">
      <c r="A75" s="1618"/>
      <c r="B75" s="1603" t="s">
        <v>1206</v>
      </c>
      <c r="C75" s="1603" t="s">
        <v>1024</v>
      </c>
      <c r="D75" s="1603"/>
      <c r="E75" s="1603">
        <v>25</v>
      </c>
      <c r="F75" s="1604">
        <v>30000</v>
      </c>
      <c r="G75" s="1603"/>
      <c r="H75" s="1628">
        <f>E75*F75</f>
        <v>750000</v>
      </c>
      <c r="I75" s="1603"/>
      <c r="J75" s="1607"/>
    </row>
    <row r="76" spans="1:10" s="1617" customFormat="1" ht="23" customHeight="1">
      <c r="A76" s="1618"/>
      <c r="B76" s="1603" t="s">
        <v>1207</v>
      </c>
      <c r="C76" s="1603" t="s">
        <v>1208</v>
      </c>
      <c r="D76" s="1603"/>
      <c r="E76" s="1603">
        <v>5</v>
      </c>
      <c r="F76" s="1604">
        <v>50000</v>
      </c>
      <c r="G76" s="1603"/>
      <c r="H76" s="1628">
        <f>E76*F76</f>
        <v>250000</v>
      </c>
      <c r="I76" s="1603"/>
      <c r="J76" s="1607"/>
    </row>
    <row r="77" spans="1:10" s="1617" customFormat="1" ht="23" customHeight="1">
      <c r="A77" s="1618">
        <v>1.7</v>
      </c>
      <c r="B77" s="853" t="s">
        <v>1214</v>
      </c>
      <c r="C77" s="1603"/>
      <c r="D77" s="1603"/>
      <c r="E77" s="1603"/>
      <c r="F77" s="1603"/>
      <c r="G77" s="1603"/>
      <c r="H77" s="1614">
        <f>SUM(H70:H76)</f>
        <v>4800000</v>
      </c>
      <c r="I77" s="1603" t="s">
        <v>1198</v>
      </c>
      <c r="J77" s="1607"/>
    </row>
    <row r="78" spans="1:10" s="1617" customFormat="1" ht="23" customHeight="1">
      <c r="A78" s="1618"/>
      <c r="B78" s="1603" t="s">
        <v>1195</v>
      </c>
      <c r="C78" s="1603" t="s">
        <v>1199</v>
      </c>
      <c r="D78" s="1603"/>
      <c r="E78" s="1603">
        <v>1</v>
      </c>
      <c r="F78" s="1604">
        <v>450000</v>
      </c>
      <c r="G78" s="1603"/>
      <c r="H78" s="1628">
        <f>E78*F78</f>
        <v>450000</v>
      </c>
      <c r="I78" s="1603"/>
      <c r="J78" s="1607"/>
    </row>
    <row r="79" spans="1:10" s="1617" customFormat="1" ht="23" customHeight="1">
      <c r="A79" s="1618"/>
      <c r="B79" s="1603" t="s">
        <v>1200</v>
      </c>
      <c r="C79" s="1603" t="s">
        <v>1201</v>
      </c>
      <c r="D79" s="1603"/>
      <c r="E79" s="1603">
        <v>4</v>
      </c>
      <c r="F79" s="1604">
        <v>50000</v>
      </c>
      <c r="G79" s="1603"/>
      <c r="H79" s="1628">
        <f>E79*F79</f>
        <v>200000</v>
      </c>
      <c r="I79" s="1603"/>
      <c r="J79" s="1607"/>
    </row>
    <row r="80" spans="1:10" s="1617" customFormat="1" ht="23" customHeight="1">
      <c r="A80" s="1618"/>
      <c r="B80" s="1603" t="s">
        <v>1202</v>
      </c>
      <c r="C80" s="1603" t="s">
        <v>1024</v>
      </c>
      <c r="D80" s="1603"/>
      <c r="E80" s="1603">
        <v>22</v>
      </c>
      <c r="F80" s="1604">
        <v>30000</v>
      </c>
      <c r="G80" s="1603"/>
      <c r="H80" s="1628">
        <v>660000</v>
      </c>
      <c r="I80" s="1603"/>
      <c r="J80" s="1607"/>
    </row>
    <row r="81" spans="1:10" s="1617" customFormat="1" ht="23" customHeight="1">
      <c r="A81" s="1618"/>
      <c r="B81" s="1603" t="s">
        <v>1203</v>
      </c>
      <c r="C81" s="1603" t="s">
        <v>1177</v>
      </c>
      <c r="D81" s="1603"/>
      <c r="E81" s="1603">
        <v>28</v>
      </c>
      <c r="F81" s="1604">
        <v>50000</v>
      </c>
      <c r="G81" s="1603"/>
      <c r="H81" s="1628">
        <v>1400000</v>
      </c>
      <c r="I81" s="1603"/>
      <c r="J81" s="1607"/>
    </row>
    <row r="82" spans="1:10" s="1617" customFormat="1" ht="23" customHeight="1">
      <c r="A82" s="1618"/>
      <c r="B82" s="1603" t="s">
        <v>1204</v>
      </c>
      <c r="C82" s="1603" t="s">
        <v>1205</v>
      </c>
      <c r="D82" s="1603"/>
      <c r="E82" s="1603">
        <v>22</v>
      </c>
      <c r="F82" s="1604">
        <v>40000</v>
      </c>
      <c r="G82" s="1603"/>
      <c r="H82" s="1628">
        <v>880000</v>
      </c>
      <c r="I82" s="1603"/>
      <c r="J82" s="1607"/>
    </row>
    <row r="83" spans="1:10" s="1617" customFormat="1" ht="23" customHeight="1">
      <c r="A83" s="1618"/>
      <c r="B83" s="1603" t="s">
        <v>1206</v>
      </c>
      <c r="C83" s="1603" t="s">
        <v>1024</v>
      </c>
      <c r="D83" s="1603"/>
      <c r="E83" s="1603">
        <v>22</v>
      </c>
      <c r="F83" s="1604">
        <v>30000</v>
      </c>
      <c r="G83" s="1603"/>
      <c r="H83" s="1628">
        <f>E83*F83</f>
        <v>660000</v>
      </c>
      <c r="I83" s="1603"/>
      <c r="J83" s="1607"/>
    </row>
    <row r="84" spans="1:10" s="1617" customFormat="1" ht="23" customHeight="1">
      <c r="A84" s="1618"/>
      <c r="B84" s="1603" t="s">
        <v>1207</v>
      </c>
      <c r="C84" s="1603" t="s">
        <v>1208</v>
      </c>
      <c r="D84" s="1603"/>
      <c r="E84" s="1603">
        <v>5</v>
      </c>
      <c r="F84" s="1604">
        <v>50000</v>
      </c>
      <c r="G84" s="1603"/>
      <c r="H84" s="1628">
        <f>E84*F84</f>
        <v>250000</v>
      </c>
      <c r="I84" s="1603"/>
      <c r="J84" s="1607"/>
    </row>
    <row r="85" spans="1:10" s="1617" customFormat="1" ht="23" customHeight="1">
      <c r="A85" s="1618">
        <v>1.8</v>
      </c>
      <c r="B85" s="1613" t="s">
        <v>1215</v>
      </c>
      <c r="C85" s="1603"/>
      <c r="D85" s="1603"/>
      <c r="E85" s="1603"/>
      <c r="F85" s="1603"/>
      <c r="G85" s="1603"/>
      <c r="H85" s="1614">
        <f>SUM(H78:H84)</f>
        <v>4500000</v>
      </c>
      <c r="I85" s="1603" t="s">
        <v>1198</v>
      </c>
      <c r="J85" s="1607"/>
    </row>
    <row r="86" spans="1:10" s="1617" customFormat="1" ht="23" customHeight="1">
      <c r="A86" s="1618"/>
      <c r="B86" s="1603" t="s">
        <v>1195</v>
      </c>
      <c r="C86" s="1603" t="s">
        <v>1199</v>
      </c>
      <c r="D86" s="1603"/>
      <c r="E86" s="1603">
        <v>1</v>
      </c>
      <c r="F86" s="1604">
        <v>450000</v>
      </c>
      <c r="G86" s="1603"/>
      <c r="H86" s="1628">
        <f>E86*F86</f>
        <v>450000</v>
      </c>
      <c r="I86" s="1603"/>
      <c r="J86" s="1607"/>
    </row>
    <row r="87" spans="1:10" s="78" customFormat="1" ht="23" customHeight="1">
      <c r="A87" s="1618"/>
      <c r="B87" s="1603" t="s">
        <v>1200</v>
      </c>
      <c r="C87" s="1603" t="s">
        <v>1201</v>
      </c>
      <c r="D87" s="1603"/>
      <c r="E87" s="1603">
        <v>4</v>
      </c>
      <c r="F87" s="1604">
        <v>50000</v>
      </c>
      <c r="G87" s="1603"/>
      <c r="H87" s="1628">
        <f>E87*F87</f>
        <v>200000</v>
      </c>
      <c r="I87" s="1603"/>
      <c r="J87" s="1607"/>
    </row>
    <row r="88" spans="1:10" s="78" customFormat="1" ht="23" customHeight="1">
      <c r="A88" s="1618"/>
      <c r="B88" s="1603" t="s">
        <v>1202</v>
      </c>
      <c r="C88" s="1603" t="s">
        <v>1024</v>
      </c>
      <c r="D88" s="1603"/>
      <c r="E88" s="1603">
        <v>25</v>
      </c>
      <c r="F88" s="1604">
        <v>30000</v>
      </c>
      <c r="G88" s="1603"/>
      <c r="H88" s="1628">
        <v>750000</v>
      </c>
      <c r="I88" s="1603"/>
      <c r="J88" s="1607"/>
    </row>
    <row r="89" spans="1:10" s="78" customFormat="1" ht="23" customHeight="1">
      <c r="A89" s="1618"/>
      <c r="B89" s="1603" t="s">
        <v>1203</v>
      </c>
      <c r="C89" s="1603" t="s">
        <v>1177</v>
      </c>
      <c r="D89" s="1603"/>
      <c r="E89" s="1603">
        <v>28</v>
      </c>
      <c r="F89" s="1604">
        <v>50000</v>
      </c>
      <c r="G89" s="1603"/>
      <c r="H89" s="1628">
        <v>1400000</v>
      </c>
      <c r="I89" s="1603"/>
      <c r="J89" s="1607"/>
    </row>
    <row r="90" spans="1:10" s="78" customFormat="1" ht="23" customHeight="1">
      <c r="A90" s="1618"/>
      <c r="B90" s="1603" t="s">
        <v>1204</v>
      </c>
      <c r="C90" s="1603" t="s">
        <v>1205</v>
      </c>
      <c r="D90" s="1603"/>
      <c r="E90" s="1603">
        <v>25</v>
      </c>
      <c r="F90" s="1604">
        <v>40000</v>
      </c>
      <c r="G90" s="1603"/>
      <c r="H90" s="1628">
        <v>1000000</v>
      </c>
      <c r="I90" s="1603"/>
      <c r="J90" s="1607"/>
    </row>
    <row r="91" spans="1:10" s="78" customFormat="1" ht="23" customHeight="1">
      <c r="A91" s="1618"/>
      <c r="B91" s="1603" t="s">
        <v>1206</v>
      </c>
      <c r="C91" s="1603" t="s">
        <v>1024</v>
      </c>
      <c r="D91" s="1603"/>
      <c r="E91" s="1603">
        <v>25</v>
      </c>
      <c r="F91" s="1604">
        <v>30000</v>
      </c>
      <c r="G91" s="1603"/>
      <c r="H91" s="1628">
        <f>E91*F91</f>
        <v>750000</v>
      </c>
      <c r="I91" s="1603"/>
      <c r="J91" s="1607"/>
    </row>
    <row r="92" spans="1:10" s="78" customFormat="1" ht="23" customHeight="1">
      <c r="A92" s="1618"/>
      <c r="B92" s="1603" t="s">
        <v>1207</v>
      </c>
      <c r="C92" s="1603" t="s">
        <v>1208</v>
      </c>
      <c r="D92" s="1603"/>
      <c r="E92" s="1603">
        <v>5</v>
      </c>
      <c r="F92" s="1604">
        <v>50000</v>
      </c>
      <c r="G92" s="1603"/>
      <c r="H92" s="1628">
        <f>E92*F92</f>
        <v>250000</v>
      </c>
      <c r="I92" s="1603"/>
      <c r="J92" s="1607"/>
    </row>
    <row r="93" spans="1:10" s="1617" customFormat="1" ht="23" customHeight="1">
      <c r="A93" s="1618"/>
      <c r="B93" s="1642" t="s">
        <v>490</v>
      </c>
      <c r="C93" s="1603"/>
      <c r="D93" s="1603"/>
      <c r="E93" s="1603"/>
      <c r="F93" s="1604"/>
      <c r="G93" s="1603"/>
      <c r="H93" s="1635">
        <v>63642000</v>
      </c>
      <c r="I93" s="1603"/>
      <c r="J93" s="1607"/>
    </row>
    <row r="94" spans="1:10" s="78" customFormat="1" ht="23" customHeight="1" thickBot="1">
      <c r="A94" s="1636"/>
      <c r="B94" s="1643" t="s">
        <v>1062</v>
      </c>
      <c r="C94" s="1637"/>
      <c r="D94" s="1637"/>
      <c r="E94" s="1637"/>
      <c r="F94" s="1638"/>
      <c r="G94" s="1637"/>
      <c r="H94" s="1639">
        <v>35646000</v>
      </c>
      <c r="I94" s="1637"/>
      <c r="J94" s="1640"/>
    </row>
    <row r="95" spans="1:10" ht="10.5" customHeight="1" thickTop="1">
      <c r="A95" s="807"/>
      <c r="I95" s="806"/>
      <c r="J95" s="806"/>
    </row>
    <row r="96" spans="1:10" ht="14.25" hidden="1" customHeight="1">
      <c r="A96" s="807"/>
      <c r="I96" s="806"/>
      <c r="J96" s="806"/>
    </row>
    <row r="97" spans="1:11" ht="14.25" hidden="1" customHeight="1">
      <c r="A97" s="807"/>
      <c r="B97" s="806"/>
      <c r="C97" s="806"/>
      <c r="D97" s="806"/>
      <c r="E97" s="806"/>
      <c r="F97" s="808"/>
      <c r="G97" s="806"/>
      <c r="H97" s="809"/>
      <c r="I97" s="806"/>
      <c r="J97" s="806"/>
    </row>
    <row r="98" spans="1:11" ht="14.25" customHeight="1">
      <c r="A98" s="807"/>
      <c r="B98" s="806"/>
      <c r="C98" s="806"/>
      <c r="D98" s="806"/>
      <c r="E98" s="806"/>
      <c r="F98" s="808"/>
      <c r="G98" s="806"/>
      <c r="H98" s="809"/>
      <c r="I98" s="2024" t="s">
        <v>1216</v>
      </c>
      <c r="J98" s="2024"/>
      <c r="K98" s="2024"/>
    </row>
    <row r="99" spans="1:11" ht="0.75" customHeight="1">
      <c r="A99" s="807"/>
      <c r="B99" s="806"/>
      <c r="C99" s="806"/>
      <c r="D99" s="806"/>
      <c r="E99" s="806"/>
      <c r="F99" s="808"/>
      <c r="G99" s="806"/>
      <c r="H99" s="809"/>
      <c r="I99" s="806"/>
      <c r="J99" s="806"/>
    </row>
    <row r="100" spans="1:11" ht="18" customHeight="1">
      <c r="A100" s="810"/>
      <c r="B100" s="606" t="s">
        <v>1217</v>
      </c>
      <c r="C100" s="811" t="s">
        <v>1218</v>
      </c>
      <c r="D100" s="806"/>
      <c r="E100" s="806"/>
      <c r="F100" s="812" t="s">
        <v>1219</v>
      </c>
      <c r="G100" s="806"/>
      <c r="H100" s="812" t="s">
        <v>1220</v>
      </c>
      <c r="I100" s="122" t="s">
        <v>1221</v>
      </c>
      <c r="J100" s="811"/>
    </row>
    <row r="101" spans="1:11" ht="17.25" customHeight="1">
      <c r="A101" s="810"/>
      <c r="B101" s="805"/>
      <c r="C101" s="806"/>
      <c r="D101" s="806"/>
      <c r="E101" s="806"/>
      <c r="F101" s="808"/>
      <c r="G101" s="806"/>
      <c r="H101" s="813"/>
      <c r="I101" s="806"/>
      <c r="J101" s="806"/>
    </row>
    <row r="102" spans="1:11" ht="18" customHeight="1">
      <c r="A102" s="810"/>
      <c r="B102" s="805"/>
      <c r="C102" s="806"/>
      <c r="D102" s="806"/>
      <c r="E102" s="806"/>
      <c r="F102" s="808"/>
      <c r="G102" s="806"/>
      <c r="H102" s="813"/>
      <c r="I102" s="806"/>
      <c r="J102" s="806"/>
    </row>
    <row r="103" spans="1:11" s="804" customFormat="1" ht="18" customHeight="1"/>
    <row r="104" spans="1:11" ht="16">
      <c r="B104" s="806"/>
      <c r="C104" s="806"/>
      <c r="D104" s="806"/>
      <c r="E104" s="806"/>
      <c r="F104" s="806"/>
      <c r="G104" s="806"/>
      <c r="H104" s="806"/>
      <c r="I104" s="1644"/>
      <c r="J104" s="1644"/>
      <c r="K104" s="1644"/>
    </row>
    <row r="105" spans="1:11" s="2022" customFormat="1">
      <c r="A105" s="2022" t="s">
        <v>1222</v>
      </c>
    </row>
    <row r="106" spans="1:11" ht="16">
      <c r="A106" s="812" t="s">
        <v>1223</v>
      </c>
    </row>
    <row r="108" spans="1:11" ht="16">
      <c r="B108" s="812"/>
    </row>
    <row r="109" spans="1:11">
      <c r="B109" s="28"/>
    </row>
    <row r="110" spans="1:11" s="2022" customFormat="1">
      <c r="A110" s="2022" t="s">
        <v>1224</v>
      </c>
    </row>
  </sheetData>
  <mergeCells count="7">
    <mergeCell ref="A105:XFD105"/>
    <mergeCell ref="A110:XFD110"/>
    <mergeCell ref="A1:B1"/>
    <mergeCell ref="A2:B2"/>
    <mergeCell ref="A3:J3"/>
    <mergeCell ref="A4:J4"/>
    <mergeCell ref="I98:K98"/>
  </mergeCells>
  <pageMargins left="0.56999999999999995" right="0.47" top="1.06" bottom="0.63"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K116"/>
  <sheetViews>
    <sheetView view="pageBreakPreview" zoomScaleNormal="100" zoomScaleSheetLayoutView="100" workbookViewId="0">
      <selection activeCell="J7" sqref="J7"/>
    </sheetView>
  </sheetViews>
  <sheetFormatPr baseColWidth="10" defaultColWidth="8.83203125" defaultRowHeight="13"/>
  <cols>
    <col min="1" max="1" width="6" customWidth="1"/>
    <col min="2" max="2" width="29.6640625" customWidth="1"/>
    <col min="3" max="3" width="8.33203125" customWidth="1"/>
    <col min="4" max="4" width="10.6640625" customWidth="1"/>
    <col min="5" max="5" width="6.33203125" customWidth="1"/>
    <col min="6" max="6" width="10.5" customWidth="1"/>
    <col min="7" max="7" width="8.33203125" customWidth="1"/>
    <col min="8" max="8" width="16.83203125" customWidth="1"/>
    <col min="9" max="9" width="25.1640625" customWidth="1"/>
    <col min="10" max="10" width="16.1640625" customWidth="1"/>
  </cols>
  <sheetData>
    <row r="1" spans="1:63" ht="16">
      <c r="A1" s="1905" t="s">
        <v>1158</v>
      </c>
      <c r="B1" s="1905"/>
      <c r="F1" s="802"/>
      <c r="BK1" s="803">
        <v>1.3</v>
      </c>
    </row>
    <row r="2" spans="1:63" ht="16">
      <c r="A2" s="1905" t="s">
        <v>1009</v>
      </c>
      <c r="B2" s="1905"/>
      <c r="J2" s="1828" t="s">
        <v>1661</v>
      </c>
    </row>
    <row r="3" spans="1:63" ht="18">
      <c r="A3" s="2023" t="s">
        <v>1159</v>
      </c>
      <c r="B3" s="2023"/>
      <c r="C3" s="2023"/>
      <c r="D3" s="2023"/>
      <c r="E3" s="2023"/>
      <c r="F3" s="2023"/>
      <c r="G3" s="2023"/>
      <c r="H3" s="2023"/>
      <c r="I3" s="2023"/>
      <c r="J3" s="2023"/>
    </row>
    <row r="4" spans="1:63" ht="18">
      <c r="A4" s="2023" t="s">
        <v>1225</v>
      </c>
      <c r="B4" s="2023"/>
      <c r="C4" s="2023"/>
      <c r="D4" s="2023"/>
      <c r="E4" s="2023"/>
      <c r="F4" s="2023"/>
      <c r="G4" s="2023"/>
      <c r="H4" s="2023"/>
      <c r="I4" s="2023"/>
      <c r="J4" s="2023"/>
    </row>
    <row r="5" spans="1:63" ht="14" thickBot="1"/>
    <row r="6" spans="1:63" ht="33" customHeight="1" thickTop="1">
      <c r="A6" s="1561" t="s">
        <v>0</v>
      </c>
      <c r="B6" s="1562" t="s">
        <v>1012</v>
      </c>
      <c r="C6" s="1407" t="s">
        <v>1</v>
      </c>
      <c r="D6" s="1407" t="s">
        <v>1226</v>
      </c>
      <c r="E6" s="1407" t="s">
        <v>368</v>
      </c>
      <c r="F6" s="1407" t="s">
        <v>1163</v>
      </c>
      <c r="G6" s="1407" t="s">
        <v>1164</v>
      </c>
      <c r="H6" s="1406" t="s">
        <v>28</v>
      </c>
      <c r="I6" s="1407" t="s">
        <v>1018</v>
      </c>
      <c r="J6" s="1652" t="s">
        <v>1165</v>
      </c>
    </row>
    <row r="7" spans="1:63">
      <c r="A7" s="1563" t="s">
        <v>5</v>
      </c>
      <c r="B7" s="1564" t="s">
        <v>18</v>
      </c>
      <c r="C7" s="1564" t="s">
        <v>417</v>
      </c>
      <c r="D7" s="1564">
        <v>1</v>
      </c>
      <c r="E7" s="1564">
        <v>2</v>
      </c>
      <c r="F7" s="1564">
        <v>3</v>
      </c>
      <c r="G7" s="1564">
        <v>4</v>
      </c>
      <c r="H7" s="1564"/>
      <c r="I7" s="1564"/>
      <c r="J7" s="1566"/>
    </row>
    <row r="8" spans="1:63" ht="16.5" customHeight="1">
      <c r="A8" s="1563" t="s">
        <v>5</v>
      </c>
      <c r="B8" s="1567" t="s">
        <v>1022</v>
      </c>
      <c r="C8" s="1565"/>
      <c r="D8" s="1565"/>
      <c r="E8" s="1565"/>
      <c r="F8" s="1565"/>
      <c r="G8" s="1565"/>
      <c r="H8" s="1524"/>
      <c r="I8" s="1565"/>
      <c r="J8" s="1568"/>
    </row>
    <row r="9" spans="1:63" ht="33.75" customHeight="1">
      <c r="A9" s="1563">
        <v>1</v>
      </c>
      <c r="B9" s="1569" t="s">
        <v>1227</v>
      </c>
      <c r="C9" s="1570" t="s">
        <v>1024</v>
      </c>
      <c r="D9" s="1571">
        <v>2</v>
      </c>
      <c r="E9" s="1571">
        <v>168</v>
      </c>
      <c r="F9" s="1572">
        <v>225000</v>
      </c>
      <c r="G9" s="1573" t="s">
        <v>1167</v>
      </c>
      <c r="H9" s="1581">
        <v>105840000</v>
      </c>
      <c r="I9" s="1571" t="s">
        <v>1168</v>
      </c>
      <c r="J9" s="1574"/>
      <c r="K9" s="1651"/>
    </row>
    <row r="10" spans="1:63" ht="16">
      <c r="A10" s="1575" t="s">
        <v>18</v>
      </c>
      <c r="B10" s="1576" t="s">
        <v>1169</v>
      </c>
      <c r="C10" s="1571"/>
      <c r="D10" s="1571"/>
      <c r="E10" s="1571"/>
      <c r="F10" s="1571"/>
      <c r="G10" s="1571"/>
      <c r="H10" s="1577">
        <f>H9 *0.8</f>
        <v>84672000</v>
      </c>
      <c r="I10" s="1571"/>
      <c r="J10" s="1578"/>
      <c r="K10" s="2"/>
    </row>
    <row r="11" spans="1:63" s="805" customFormat="1" ht="16">
      <c r="A11" s="1579" t="s">
        <v>6</v>
      </c>
      <c r="B11" s="1580" t="s">
        <v>1170</v>
      </c>
      <c r="C11" s="1571"/>
      <c r="D11" s="1571"/>
      <c r="E11" s="1571"/>
      <c r="F11" s="1571"/>
      <c r="G11" s="1571"/>
      <c r="H11" s="1581">
        <v>22200000</v>
      </c>
      <c r="I11" s="1571"/>
      <c r="J11" s="1578"/>
      <c r="K11" s="804"/>
    </row>
    <row r="12" spans="1:63" s="805" customFormat="1" ht="18" customHeight="1">
      <c r="A12" s="1582">
        <v>1</v>
      </c>
      <c r="B12" s="1583" t="s">
        <v>1228</v>
      </c>
      <c r="C12" s="1571"/>
      <c r="D12" s="1571"/>
      <c r="E12" s="1571"/>
      <c r="F12" s="1571"/>
      <c r="G12" s="1571"/>
      <c r="H12" s="1577"/>
      <c r="I12" s="1571"/>
      <c r="J12" s="1574"/>
    </row>
    <row r="13" spans="1:63" s="805" customFormat="1" ht="32.25" customHeight="1">
      <c r="A13" s="1582">
        <v>1.1000000000000001</v>
      </c>
      <c r="B13" s="1585" t="s">
        <v>1229</v>
      </c>
      <c r="C13" s="1584"/>
      <c r="D13" s="1571"/>
      <c r="E13" s="1571"/>
      <c r="F13" s="1571"/>
      <c r="G13" s="1571"/>
      <c r="H13" s="1577">
        <v>2700000</v>
      </c>
      <c r="I13" s="1585" t="s">
        <v>1230</v>
      </c>
      <c r="J13" s="1578"/>
      <c r="K13" s="804"/>
    </row>
    <row r="14" spans="1:63" s="805" customFormat="1" ht="22.5" customHeight="1">
      <c r="A14" s="1586"/>
      <c r="B14" s="1585" t="s">
        <v>1231</v>
      </c>
      <c r="C14" s="1584" t="s">
        <v>1177</v>
      </c>
      <c r="D14" s="1645">
        <v>2</v>
      </c>
      <c r="E14" s="1571">
        <v>15</v>
      </c>
      <c r="F14" s="1572">
        <v>90000</v>
      </c>
      <c r="G14" s="1571"/>
      <c r="H14" s="1572">
        <v>2700000</v>
      </c>
      <c r="I14" s="1571" t="s">
        <v>1232</v>
      </c>
      <c r="J14" s="1578"/>
      <c r="K14" s="804"/>
    </row>
    <row r="15" spans="1:63" s="805" customFormat="1" ht="22.5" customHeight="1">
      <c r="A15" s="1586">
        <v>1.2</v>
      </c>
      <c r="B15" s="1585" t="s">
        <v>1233</v>
      </c>
      <c r="C15" s="1584" t="s">
        <v>1177</v>
      </c>
      <c r="D15" s="1645">
        <v>2</v>
      </c>
      <c r="E15" s="1571">
        <v>15</v>
      </c>
      <c r="F15" s="1572">
        <v>90000</v>
      </c>
      <c r="G15" s="1571"/>
      <c r="H15" s="1581">
        <v>2700000</v>
      </c>
      <c r="I15" s="1571"/>
      <c r="J15" s="1578"/>
      <c r="K15" s="804"/>
    </row>
    <row r="16" spans="1:63" s="805" customFormat="1" ht="22.5" customHeight="1">
      <c r="A16" s="1586"/>
      <c r="B16" s="1585" t="s">
        <v>1234</v>
      </c>
      <c r="C16" s="1584" t="s">
        <v>1177</v>
      </c>
      <c r="D16" s="1645">
        <v>2</v>
      </c>
      <c r="E16" s="1571">
        <v>15</v>
      </c>
      <c r="F16" s="1572">
        <v>90000</v>
      </c>
      <c r="G16" s="1571"/>
      <c r="H16" s="1572">
        <v>2700000</v>
      </c>
      <c r="I16" s="1571" t="s">
        <v>1184</v>
      </c>
      <c r="J16" s="1578"/>
      <c r="K16" s="804"/>
    </row>
    <row r="17" spans="1:12" s="805" customFormat="1" ht="22.5" customHeight="1">
      <c r="A17" s="1586"/>
      <c r="B17" s="1585" t="s">
        <v>1235</v>
      </c>
      <c r="C17" s="1584" t="s">
        <v>1177</v>
      </c>
      <c r="D17" s="1645">
        <v>2</v>
      </c>
      <c r="E17" s="1571">
        <v>15</v>
      </c>
      <c r="F17" s="1572">
        <v>90000</v>
      </c>
      <c r="G17" s="1571"/>
      <c r="H17" s="1572">
        <v>2700000</v>
      </c>
      <c r="I17" s="1571"/>
      <c r="J17" s="1578"/>
      <c r="K17" s="804"/>
    </row>
    <row r="18" spans="1:12" s="805" customFormat="1" ht="22.5" customHeight="1">
      <c r="A18" s="1586">
        <v>1.3</v>
      </c>
      <c r="B18" s="1585" t="s">
        <v>1236</v>
      </c>
      <c r="C18" s="1584" t="s">
        <v>1177</v>
      </c>
      <c r="D18" s="1645">
        <v>2</v>
      </c>
      <c r="E18" s="1571">
        <v>15</v>
      </c>
      <c r="F18" s="1572">
        <v>80000</v>
      </c>
      <c r="G18" s="1571"/>
      <c r="H18" s="1581">
        <v>2400000</v>
      </c>
      <c r="I18" s="1571"/>
      <c r="J18" s="1578"/>
      <c r="K18" s="804"/>
    </row>
    <row r="19" spans="1:12" s="805" customFormat="1" ht="22.5" customHeight="1">
      <c r="A19" s="1586"/>
      <c r="B19" s="1585" t="s">
        <v>1237</v>
      </c>
      <c r="C19" s="1584" t="s">
        <v>1177</v>
      </c>
      <c r="D19" s="1645">
        <v>2</v>
      </c>
      <c r="E19" s="1571">
        <v>15</v>
      </c>
      <c r="F19" s="1572">
        <v>80000</v>
      </c>
      <c r="G19" s="1571"/>
      <c r="H19" s="1587">
        <v>2400000</v>
      </c>
      <c r="I19" s="1571" t="s">
        <v>1181</v>
      </c>
      <c r="J19" s="1574"/>
    </row>
    <row r="20" spans="1:12" s="805" customFormat="1" ht="45" customHeight="1">
      <c r="A20" s="1586">
        <v>1.4</v>
      </c>
      <c r="B20" s="1646" t="s">
        <v>1238</v>
      </c>
      <c r="C20" s="1584" t="s">
        <v>1177</v>
      </c>
      <c r="D20" s="1645">
        <v>2</v>
      </c>
      <c r="E20" s="1571">
        <v>15</v>
      </c>
      <c r="F20" s="1572">
        <v>80000</v>
      </c>
      <c r="G20" s="1571"/>
      <c r="H20" s="1581">
        <v>2400000</v>
      </c>
      <c r="I20" s="1622"/>
      <c r="J20" s="1611"/>
      <c r="K20" s="804"/>
      <c r="L20" s="804"/>
    </row>
    <row r="21" spans="1:12" s="805" customFormat="1" ht="23.25" customHeight="1">
      <c r="A21" s="1586"/>
      <c r="B21" s="1622" t="s">
        <v>1239</v>
      </c>
      <c r="C21" s="1621" t="s">
        <v>1177</v>
      </c>
      <c r="D21" s="1603">
        <v>2</v>
      </c>
      <c r="E21" s="1603">
        <v>15</v>
      </c>
      <c r="F21" s="1604">
        <v>80000</v>
      </c>
      <c r="G21" s="1603"/>
      <c r="H21" s="1587">
        <v>2400000</v>
      </c>
      <c r="I21" s="1622"/>
      <c r="J21" s="1607"/>
    </row>
    <row r="22" spans="1:12" s="805" customFormat="1" ht="23.25" customHeight="1">
      <c r="A22" s="1586">
        <v>1.5</v>
      </c>
      <c r="B22" s="1622" t="s">
        <v>1240</v>
      </c>
      <c r="C22" s="1584" t="s">
        <v>1177</v>
      </c>
      <c r="D22" s="1645">
        <v>2</v>
      </c>
      <c r="E22" s="1571">
        <v>15</v>
      </c>
      <c r="F22" s="1572">
        <v>80000</v>
      </c>
      <c r="G22" s="1571"/>
      <c r="H22" s="1581">
        <v>2400000</v>
      </c>
      <c r="I22" s="1622"/>
      <c r="J22" s="1607"/>
    </row>
    <row r="23" spans="1:12" s="805" customFormat="1" ht="18" customHeight="1">
      <c r="A23" s="1586"/>
      <c r="B23" s="1622" t="s">
        <v>1241</v>
      </c>
      <c r="C23" s="1621" t="s">
        <v>1177</v>
      </c>
      <c r="D23" s="1603">
        <v>2</v>
      </c>
      <c r="E23" s="1603">
        <v>15</v>
      </c>
      <c r="F23" s="1604">
        <v>80000</v>
      </c>
      <c r="G23" s="1603"/>
      <c r="H23" s="1587">
        <v>2400000</v>
      </c>
      <c r="I23" s="1622"/>
      <c r="J23" s="1607"/>
    </row>
    <row r="24" spans="1:12" s="805" customFormat="1" ht="18" customHeight="1">
      <c r="A24" s="1586">
        <v>1.6</v>
      </c>
      <c r="B24" s="1622" t="s">
        <v>1242</v>
      </c>
      <c r="C24" s="1584" t="s">
        <v>1177</v>
      </c>
      <c r="D24" s="1645">
        <v>2</v>
      </c>
      <c r="E24" s="1571">
        <v>15</v>
      </c>
      <c r="F24" s="1572">
        <v>80000</v>
      </c>
      <c r="G24" s="1571"/>
      <c r="H24" s="1581">
        <v>2400000</v>
      </c>
      <c r="I24" s="1622"/>
      <c r="J24" s="1607"/>
    </row>
    <row r="25" spans="1:12" s="805" customFormat="1" ht="21" customHeight="1">
      <c r="A25" s="1586"/>
      <c r="B25" s="1622" t="s">
        <v>1243</v>
      </c>
      <c r="C25" s="1621" t="s">
        <v>1177</v>
      </c>
      <c r="D25" s="1603">
        <v>2</v>
      </c>
      <c r="E25" s="1603">
        <v>15</v>
      </c>
      <c r="F25" s="1604">
        <v>80000</v>
      </c>
      <c r="G25" s="1603"/>
      <c r="H25" s="1587">
        <v>2400000</v>
      </c>
      <c r="I25" s="1622"/>
      <c r="J25" s="1607"/>
    </row>
    <row r="26" spans="1:12" s="805" customFormat="1" ht="30" customHeight="1">
      <c r="A26" s="1647">
        <v>1.7</v>
      </c>
      <c r="B26" s="1585" t="s">
        <v>1244</v>
      </c>
      <c r="C26" s="1584" t="s">
        <v>1177</v>
      </c>
      <c r="D26" s="1645">
        <v>2</v>
      </c>
      <c r="E26" s="1571">
        <v>15</v>
      </c>
      <c r="F26" s="1572">
        <v>80000</v>
      </c>
      <c r="G26" s="1571"/>
      <c r="H26" s="1581">
        <v>2400000</v>
      </c>
      <c r="I26" s="1648" t="s">
        <v>1245</v>
      </c>
      <c r="J26" s="1574"/>
    </row>
    <row r="27" spans="1:12" s="805" customFormat="1" ht="16">
      <c r="A27" s="1582"/>
      <c r="B27" s="1571" t="s">
        <v>1246</v>
      </c>
      <c r="C27" s="1570" t="s">
        <v>1177</v>
      </c>
      <c r="D27" s="1571">
        <v>2</v>
      </c>
      <c r="E27" s="1571">
        <v>15</v>
      </c>
      <c r="F27" s="1572">
        <v>80000</v>
      </c>
      <c r="G27" s="1571"/>
      <c r="H27" s="1587">
        <v>2400000</v>
      </c>
      <c r="I27" s="1648" t="s">
        <v>1181</v>
      </c>
      <c r="J27" s="1574"/>
    </row>
    <row r="28" spans="1:12" s="805" customFormat="1" ht="17">
      <c r="A28" s="1582">
        <v>1.8</v>
      </c>
      <c r="B28" s="1571" t="s">
        <v>1247</v>
      </c>
      <c r="C28" s="1584" t="s">
        <v>1177</v>
      </c>
      <c r="D28" s="1645">
        <v>2</v>
      </c>
      <c r="E28" s="1571">
        <v>15</v>
      </c>
      <c r="F28" s="1572">
        <v>80000</v>
      </c>
      <c r="G28" s="1571"/>
      <c r="H28" s="1581">
        <v>2400000</v>
      </c>
      <c r="I28" s="1648"/>
      <c r="J28" s="1574"/>
    </row>
    <row r="29" spans="1:12" s="805" customFormat="1" ht="16">
      <c r="A29" s="1582"/>
      <c r="B29" s="1571" t="s">
        <v>1192</v>
      </c>
      <c r="C29" s="1570" t="s">
        <v>1177</v>
      </c>
      <c r="D29" s="1571">
        <v>2</v>
      </c>
      <c r="E29" s="1571">
        <v>15</v>
      </c>
      <c r="F29" s="1572">
        <v>80000</v>
      </c>
      <c r="G29" s="1571"/>
      <c r="H29" s="1587">
        <v>2400000</v>
      </c>
      <c r="I29" s="1648" t="s">
        <v>1184</v>
      </c>
      <c r="J29" s="1574"/>
    </row>
    <row r="30" spans="1:12" s="805" customFormat="1" ht="16">
      <c r="A30" s="1582"/>
      <c r="B30" s="1528"/>
      <c r="C30" s="1570"/>
      <c r="D30" s="1571"/>
      <c r="E30" s="1571"/>
      <c r="F30" s="1572"/>
      <c r="G30" s="1571"/>
      <c r="H30" s="1581"/>
      <c r="I30" s="1648"/>
      <c r="J30" s="1574"/>
    </row>
    <row r="31" spans="1:12" s="805" customFormat="1" ht="16">
      <c r="A31" s="1582"/>
      <c r="B31" s="1571"/>
      <c r="C31" s="1570"/>
      <c r="D31" s="1571"/>
      <c r="E31" s="1571"/>
      <c r="F31" s="1572"/>
      <c r="G31" s="1571"/>
      <c r="H31" s="1572"/>
      <c r="I31" s="1648"/>
      <c r="J31" s="1574"/>
    </row>
    <row r="32" spans="1:12" s="805" customFormat="1" ht="16">
      <c r="A32" s="1582"/>
      <c r="B32" s="1571"/>
      <c r="C32" s="1570"/>
      <c r="D32" s="1571"/>
      <c r="E32" s="1571"/>
      <c r="F32" s="1572"/>
      <c r="G32" s="1571"/>
      <c r="H32" s="1572"/>
      <c r="I32" s="1571"/>
      <c r="J32" s="1574"/>
    </row>
    <row r="33" spans="1:12" s="805" customFormat="1" ht="36.75" customHeight="1">
      <c r="A33" s="1612" t="s">
        <v>7</v>
      </c>
      <c r="B33" s="1613" t="s">
        <v>1193</v>
      </c>
      <c r="C33" s="1580"/>
      <c r="D33" s="1580"/>
      <c r="E33" s="1580"/>
      <c r="F33" s="1580"/>
      <c r="G33" s="1580"/>
      <c r="H33" s="1581">
        <v>1002000</v>
      </c>
      <c r="I33" s="1571"/>
      <c r="J33" s="1578"/>
      <c r="K33" s="804"/>
      <c r="L33" s="804"/>
    </row>
    <row r="34" spans="1:12" s="805" customFormat="1" ht="16">
      <c r="A34" s="1582">
        <v>1</v>
      </c>
      <c r="B34" s="1571" t="s">
        <v>1248</v>
      </c>
      <c r="C34" s="1571" t="s">
        <v>1194</v>
      </c>
      <c r="D34" s="1571">
        <v>2</v>
      </c>
      <c r="E34" s="1571">
        <v>167</v>
      </c>
      <c r="F34" s="1572">
        <v>6000</v>
      </c>
      <c r="G34" s="1571"/>
      <c r="H34" s="1572">
        <v>1002000</v>
      </c>
      <c r="I34" s="1571" t="s">
        <v>1111</v>
      </c>
      <c r="J34" s="1574"/>
    </row>
    <row r="35" spans="1:12" s="805" customFormat="1" ht="16">
      <c r="A35" s="1579" t="s">
        <v>24</v>
      </c>
      <c r="B35" s="1580" t="s">
        <v>1249</v>
      </c>
      <c r="C35" s="1571"/>
      <c r="D35" s="1571"/>
      <c r="E35" s="1571"/>
      <c r="F35" s="1571"/>
      <c r="G35" s="1571"/>
      <c r="H35" s="1581">
        <v>29400000</v>
      </c>
      <c r="I35" s="1571"/>
      <c r="J35" s="1574"/>
    </row>
    <row r="36" spans="1:12" s="805" customFormat="1" ht="16">
      <c r="A36" s="1647"/>
      <c r="B36" s="1528" t="s">
        <v>1250</v>
      </c>
      <c r="C36" s="1571"/>
      <c r="D36" s="1571"/>
      <c r="E36" s="1571"/>
      <c r="F36" s="1572"/>
      <c r="G36" s="1571"/>
      <c r="H36" s="1572"/>
      <c r="I36" s="1571"/>
      <c r="J36" s="1574"/>
    </row>
    <row r="37" spans="1:12" s="805" customFormat="1" ht="16">
      <c r="A37" s="1647">
        <v>1</v>
      </c>
      <c r="B37" s="1580" t="s">
        <v>1197</v>
      </c>
      <c r="C37" s="1571"/>
      <c r="D37" s="1571"/>
      <c r="E37" s="1571"/>
      <c r="F37" s="1571"/>
      <c r="G37" s="1571"/>
      <c r="H37" s="1577">
        <v>3200000</v>
      </c>
      <c r="I37" s="1571"/>
      <c r="J37" s="1574"/>
    </row>
    <row r="38" spans="1:12" s="805" customFormat="1" ht="16">
      <c r="A38" s="1647"/>
      <c r="B38" s="1571" t="s">
        <v>1195</v>
      </c>
      <c r="C38" s="1571" t="s">
        <v>1199</v>
      </c>
      <c r="D38" s="1571"/>
      <c r="E38" s="1571">
        <v>1</v>
      </c>
      <c r="F38" s="1572">
        <v>450000</v>
      </c>
      <c r="G38" s="1571"/>
      <c r="H38" s="1572">
        <v>450000</v>
      </c>
      <c r="I38" s="1571"/>
      <c r="J38" s="1574"/>
    </row>
    <row r="39" spans="1:12" s="805" customFormat="1" ht="16">
      <c r="A39" s="1647"/>
      <c r="B39" s="1571" t="s">
        <v>1200</v>
      </c>
      <c r="C39" s="1571" t="s">
        <v>1201</v>
      </c>
      <c r="D39" s="1571"/>
      <c r="E39" s="1571">
        <v>4</v>
      </c>
      <c r="F39" s="1572">
        <v>50000</v>
      </c>
      <c r="G39" s="1571"/>
      <c r="H39" s="1572">
        <v>200000</v>
      </c>
      <c r="I39" s="1571"/>
      <c r="J39" s="1574"/>
    </row>
    <row r="40" spans="1:12" s="805" customFormat="1" ht="16">
      <c r="A40" s="1647"/>
      <c r="B40" s="1571" t="s">
        <v>1202</v>
      </c>
      <c r="C40" s="1571" t="s">
        <v>1024</v>
      </c>
      <c r="D40" s="1571"/>
      <c r="E40" s="1571">
        <v>18</v>
      </c>
      <c r="F40" s="1572">
        <v>30000</v>
      </c>
      <c r="G40" s="1571"/>
      <c r="H40" s="1572">
        <v>540000</v>
      </c>
      <c r="I40" s="1571"/>
      <c r="J40" s="1574"/>
    </row>
    <row r="41" spans="1:12" s="805" customFormat="1" ht="16">
      <c r="A41" s="1647"/>
      <c r="B41" s="1571" t="s">
        <v>1203</v>
      </c>
      <c r="C41" s="1571" t="s">
        <v>1177</v>
      </c>
      <c r="D41" s="1571"/>
      <c r="E41" s="1571">
        <v>10</v>
      </c>
      <c r="F41" s="1572">
        <v>50000</v>
      </c>
      <c r="G41" s="1571"/>
      <c r="H41" s="1572">
        <v>500000</v>
      </c>
      <c r="I41" s="1571"/>
      <c r="J41" s="1574"/>
    </row>
    <row r="42" spans="1:12" s="805" customFormat="1" ht="16">
      <c r="A42" s="1647"/>
      <c r="B42" s="1571" t="s">
        <v>1204</v>
      </c>
      <c r="C42" s="1571" t="s">
        <v>1205</v>
      </c>
      <c r="D42" s="1571"/>
      <c r="E42" s="1571">
        <v>18</v>
      </c>
      <c r="F42" s="1572">
        <v>40000</v>
      </c>
      <c r="G42" s="1571"/>
      <c r="H42" s="1572">
        <v>720000</v>
      </c>
      <c r="I42" s="1571"/>
      <c r="J42" s="1574"/>
    </row>
    <row r="43" spans="1:12" s="805" customFormat="1" ht="16">
      <c r="A43" s="1647"/>
      <c r="B43" s="1571" t="s">
        <v>1206</v>
      </c>
      <c r="C43" s="1571" t="s">
        <v>1024</v>
      </c>
      <c r="D43" s="1571"/>
      <c r="E43" s="1571">
        <v>18</v>
      </c>
      <c r="F43" s="1572">
        <v>30000</v>
      </c>
      <c r="G43" s="1571"/>
      <c r="H43" s="1572">
        <v>540000</v>
      </c>
      <c r="I43" s="1571"/>
      <c r="J43" s="1574"/>
    </row>
    <row r="44" spans="1:12" s="805" customFormat="1" ht="16">
      <c r="A44" s="1647"/>
      <c r="B44" s="1571" t="s">
        <v>1207</v>
      </c>
      <c r="C44" s="1571" t="s">
        <v>1208</v>
      </c>
      <c r="D44" s="1571"/>
      <c r="E44" s="1571">
        <v>5</v>
      </c>
      <c r="F44" s="1572">
        <v>50000</v>
      </c>
      <c r="G44" s="1571"/>
      <c r="H44" s="1572">
        <v>250000</v>
      </c>
      <c r="I44" s="1571"/>
      <c r="J44" s="1574"/>
    </row>
    <row r="45" spans="1:12" s="805" customFormat="1" ht="16">
      <c r="A45" s="1647">
        <v>2</v>
      </c>
      <c r="B45" s="1580" t="s">
        <v>1251</v>
      </c>
      <c r="C45" s="1571"/>
      <c r="D45" s="1571"/>
      <c r="E45" s="1571"/>
      <c r="F45" s="1571"/>
      <c r="G45" s="1571"/>
      <c r="H45" s="1577">
        <v>3300000</v>
      </c>
      <c r="I45" s="1571"/>
      <c r="J45" s="1574"/>
    </row>
    <row r="46" spans="1:12" s="805" customFormat="1" ht="16">
      <c r="A46" s="1647"/>
      <c r="B46" s="1571" t="s">
        <v>1195</v>
      </c>
      <c r="C46" s="1571" t="s">
        <v>1199</v>
      </c>
      <c r="D46" s="1571"/>
      <c r="E46" s="1571">
        <v>1</v>
      </c>
      <c r="F46" s="1572">
        <v>450000</v>
      </c>
      <c r="G46" s="1571"/>
      <c r="H46" s="1572">
        <v>450000</v>
      </c>
      <c r="I46" s="1571"/>
      <c r="J46" s="1574"/>
    </row>
    <row r="47" spans="1:12" s="805" customFormat="1" ht="16">
      <c r="A47" s="1647"/>
      <c r="B47" s="1571" t="s">
        <v>1200</v>
      </c>
      <c r="C47" s="1571" t="s">
        <v>1201</v>
      </c>
      <c r="D47" s="1571"/>
      <c r="E47" s="1571">
        <v>4</v>
      </c>
      <c r="F47" s="1572">
        <v>50000</v>
      </c>
      <c r="G47" s="1571"/>
      <c r="H47" s="1572">
        <v>200000</v>
      </c>
      <c r="I47" s="1571"/>
      <c r="J47" s="1574"/>
    </row>
    <row r="48" spans="1:12" s="805" customFormat="1" ht="16">
      <c r="A48" s="1647"/>
      <c r="B48" s="1571" t="s">
        <v>1202</v>
      </c>
      <c r="C48" s="1571" t="s">
        <v>1024</v>
      </c>
      <c r="D48" s="1571"/>
      <c r="E48" s="1571">
        <v>19</v>
      </c>
      <c r="F48" s="1572">
        <v>30000</v>
      </c>
      <c r="G48" s="1571"/>
      <c r="H48" s="1572">
        <v>570000</v>
      </c>
      <c r="I48" s="1571"/>
      <c r="J48" s="1574"/>
    </row>
    <row r="49" spans="1:10" s="805" customFormat="1" ht="16">
      <c r="A49" s="1647"/>
      <c r="B49" s="1571" t="s">
        <v>1203</v>
      </c>
      <c r="C49" s="1571" t="s">
        <v>1177</v>
      </c>
      <c r="D49" s="1571"/>
      <c r="E49" s="1571">
        <v>10</v>
      </c>
      <c r="F49" s="1572">
        <v>50000</v>
      </c>
      <c r="G49" s="1571"/>
      <c r="H49" s="1572">
        <v>500000</v>
      </c>
      <c r="I49" s="1571"/>
      <c r="J49" s="1574"/>
    </row>
    <row r="50" spans="1:10" s="805" customFormat="1" ht="16">
      <c r="A50" s="1647"/>
      <c r="B50" s="1571" t="s">
        <v>1204</v>
      </c>
      <c r="C50" s="1571" t="s">
        <v>1205</v>
      </c>
      <c r="D50" s="1571"/>
      <c r="E50" s="1571">
        <v>19</v>
      </c>
      <c r="F50" s="1572">
        <v>40000</v>
      </c>
      <c r="G50" s="1571"/>
      <c r="H50" s="1572">
        <v>760000</v>
      </c>
      <c r="I50" s="1571"/>
      <c r="J50" s="1574"/>
    </row>
    <row r="51" spans="1:10" s="805" customFormat="1" ht="16">
      <c r="A51" s="1647"/>
      <c r="B51" s="1571" t="s">
        <v>1206</v>
      </c>
      <c r="C51" s="1571" t="s">
        <v>1024</v>
      </c>
      <c r="D51" s="1571"/>
      <c r="E51" s="1571">
        <v>19</v>
      </c>
      <c r="F51" s="1572">
        <v>30000</v>
      </c>
      <c r="G51" s="1571"/>
      <c r="H51" s="1572">
        <v>570000</v>
      </c>
      <c r="I51" s="1571"/>
      <c r="J51" s="1574"/>
    </row>
    <row r="52" spans="1:10" s="805" customFormat="1" ht="16">
      <c r="A52" s="1647"/>
      <c r="B52" s="1571" t="s">
        <v>1207</v>
      </c>
      <c r="C52" s="1571" t="s">
        <v>1208</v>
      </c>
      <c r="D52" s="1571"/>
      <c r="E52" s="1571">
        <v>5</v>
      </c>
      <c r="F52" s="1572">
        <v>50000</v>
      </c>
      <c r="G52" s="1571"/>
      <c r="H52" s="1572">
        <v>250000</v>
      </c>
      <c r="I52" s="1571"/>
      <c r="J52" s="1574"/>
    </row>
    <row r="53" spans="1:10" s="805" customFormat="1" ht="16">
      <c r="A53" s="1647">
        <v>3</v>
      </c>
      <c r="B53" s="1580" t="s">
        <v>1210</v>
      </c>
      <c r="C53" s="1571"/>
      <c r="D53" s="1571"/>
      <c r="E53" s="1571"/>
      <c r="F53" s="1571"/>
      <c r="G53" s="1571"/>
      <c r="H53" s="1577">
        <f>SUM(H46:H52)</f>
        <v>3300000</v>
      </c>
      <c r="I53" s="1571"/>
      <c r="J53" s="1574"/>
    </row>
    <row r="54" spans="1:10" s="805" customFormat="1" ht="16">
      <c r="A54" s="1647"/>
      <c r="B54" s="1571" t="s">
        <v>1195</v>
      </c>
      <c r="C54" s="1571" t="s">
        <v>1199</v>
      </c>
      <c r="D54" s="1571"/>
      <c r="E54" s="1571">
        <v>1</v>
      </c>
      <c r="F54" s="1572">
        <v>450000</v>
      </c>
      <c r="G54" s="1571"/>
      <c r="H54" s="1572">
        <v>450000</v>
      </c>
      <c r="I54" s="1571"/>
      <c r="J54" s="1574"/>
    </row>
    <row r="55" spans="1:10" s="805" customFormat="1" ht="16">
      <c r="A55" s="1647"/>
      <c r="B55" s="1571" t="s">
        <v>1200</v>
      </c>
      <c r="C55" s="1571" t="s">
        <v>1201</v>
      </c>
      <c r="D55" s="1571"/>
      <c r="E55" s="1571">
        <v>4</v>
      </c>
      <c r="F55" s="1572">
        <v>50000</v>
      </c>
      <c r="G55" s="1571"/>
      <c r="H55" s="1572">
        <v>200000</v>
      </c>
      <c r="I55" s="1571"/>
      <c r="J55" s="1574"/>
    </row>
    <row r="56" spans="1:10" s="805" customFormat="1" ht="16">
      <c r="A56" s="1647"/>
      <c r="B56" s="1571" t="s">
        <v>1202</v>
      </c>
      <c r="C56" s="1571" t="s">
        <v>1024</v>
      </c>
      <c r="D56" s="1571"/>
      <c r="E56" s="1571">
        <v>19</v>
      </c>
      <c r="F56" s="1572">
        <v>30000</v>
      </c>
      <c r="G56" s="1571"/>
      <c r="H56" s="1572">
        <v>570000</v>
      </c>
      <c r="I56" s="1571"/>
      <c r="J56" s="1574"/>
    </row>
    <row r="57" spans="1:10" s="805" customFormat="1" ht="16">
      <c r="A57" s="1647"/>
      <c r="B57" s="1571" t="s">
        <v>1203</v>
      </c>
      <c r="C57" s="1571" t="s">
        <v>1177</v>
      </c>
      <c r="D57" s="1571"/>
      <c r="E57" s="1571">
        <v>10</v>
      </c>
      <c r="F57" s="1572">
        <v>50000</v>
      </c>
      <c r="G57" s="1571"/>
      <c r="H57" s="1572">
        <v>500000</v>
      </c>
      <c r="I57" s="1571"/>
      <c r="J57" s="1574"/>
    </row>
    <row r="58" spans="1:10" s="805" customFormat="1" ht="16">
      <c r="A58" s="1647"/>
      <c r="B58" s="1571" t="s">
        <v>1204</v>
      </c>
      <c r="C58" s="1571" t="s">
        <v>1205</v>
      </c>
      <c r="D58" s="1571"/>
      <c r="E58" s="1571">
        <v>19</v>
      </c>
      <c r="F58" s="1572">
        <v>40000</v>
      </c>
      <c r="G58" s="1571"/>
      <c r="H58" s="1572">
        <v>760000</v>
      </c>
      <c r="I58" s="1571"/>
      <c r="J58" s="1574"/>
    </row>
    <row r="59" spans="1:10" s="805" customFormat="1" ht="16">
      <c r="A59" s="1647"/>
      <c r="B59" s="1571" t="s">
        <v>1206</v>
      </c>
      <c r="C59" s="1571" t="s">
        <v>1024</v>
      </c>
      <c r="D59" s="1571"/>
      <c r="E59" s="1571">
        <v>19</v>
      </c>
      <c r="F59" s="1572">
        <v>30000</v>
      </c>
      <c r="G59" s="1571"/>
      <c r="H59" s="1572">
        <v>570000</v>
      </c>
      <c r="I59" s="1571"/>
      <c r="J59" s="1574"/>
    </row>
    <row r="60" spans="1:10" s="805" customFormat="1" ht="16">
      <c r="A60" s="1647"/>
      <c r="B60" s="1571" t="s">
        <v>1207</v>
      </c>
      <c r="C60" s="1571" t="s">
        <v>1208</v>
      </c>
      <c r="D60" s="1571"/>
      <c r="E60" s="1571">
        <v>5</v>
      </c>
      <c r="F60" s="1572">
        <v>50000</v>
      </c>
      <c r="G60" s="1571"/>
      <c r="H60" s="1572">
        <v>250000</v>
      </c>
      <c r="I60" s="1571"/>
      <c r="J60" s="1574"/>
    </row>
    <row r="61" spans="1:10" s="805" customFormat="1" ht="16">
      <c r="A61" s="1647">
        <v>4</v>
      </c>
      <c r="B61" s="1580" t="s">
        <v>1211</v>
      </c>
      <c r="C61" s="1571"/>
      <c r="D61" s="1571"/>
      <c r="E61" s="1571"/>
      <c r="F61" s="1571"/>
      <c r="G61" s="1571"/>
      <c r="H61" s="1577">
        <f>SUM(H54:H60)</f>
        <v>3300000</v>
      </c>
      <c r="I61" s="1571"/>
      <c r="J61" s="1574"/>
    </row>
    <row r="62" spans="1:10" s="805" customFormat="1" ht="16">
      <c r="A62" s="1647"/>
      <c r="B62" s="1571" t="s">
        <v>1195</v>
      </c>
      <c r="C62" s="1571" t="s">
        <v>1199</v>
      </c>
      <c r="D62" s="1571"/>
      <c r="E62" s="1571">
        <v>1</v>
      </c>
      <c r="F62" s="1572">
        <v>450000</v>
      </c>
      <c r="G62" s="1571"/>
      <c r="H62" s="1572">
        <v>450000</v>
      </c>
      <c r="I62" s="1571"/>
      <c r="J62" s="1574"/>
    </row>
    <row r="63" spans="1:10" s="805" customFormat="1" ht="16">
      <c r="A63" s="1647"/>
      <c r="B63" s="1571" t="s">
        <v>1200</v>
      </c>
      <c r="C63" s="1571" t="s">
        <v>1201</v>
      </c>
      <c r="D63" s="1571"/>
      <c r="E63" s="1571">
        <v>4</v>
      </c>
      <c r="F63" s="1572">
        <v>50000</v>
      </c>
      <c r="G63" s="1571"/>
      <c r="H63" s="1572">
        <v>200000</v>
      </c>
      <c r="I63" s="1571"/>
      <c r="J63" s="1574"/>
    </row>
    <row r="64" spans="1:10" s="805" customFormat="1" ht="16">
      <c r="A64" s="1647"/>
      <c r="B64" s="1571" t="s">
        <v>1202</v>
      </c>
      <c r="C64" s="1571" t="s">
        <v>1024</v>
      </c>
      <c r="D64" s="1571"/>
      <c r="E64" s="1571">
        <v>19</v>
      </c>
      <c r="F64" s="1572">
        <v>30000</v>
      </c>
      <c r="G64" s="1571"/>
      <c r="H64" s="1572">
        <v>570000</v>
      </c>
      <c r="I64" s="1571"/>
      <c r="J64" s="1574"/>
    </row>
    <row r="65" spans="1:10" s="805" customFormat="1" ht="16">
      <c r="A65" s="1647"/>
      <c r="B65" s="1571" t="s">
        <v>1203</v>
      </c>
      <c r="C65" s="1571" t="s">
        <v>1177</v>
      </c>
      <c r="D65" s="1571"/>
      <c r="E65" s="1571">
        <v>10</v>
      </c>
      <c r="F65" s="1572">
        <v>50000</v>
      </c>
      <c r="G65" s="1571"/>
      <c r="H65" s="1572">
        <v>500000</v>
      </c>
      <c r="I65" s="1571"/>
      <c r="J65" s="1574"/>
    </row>
    <row r="66" spans="1:10" s="805" customFormat="1" ht="16">
      <c r="A66" s="1647"/>
      <c r="B66" s="1571" t="s">
        <v>1204</v>
      </c>
      <c r="C66" s="1571" t="s">
        <v>1205</v>
      </c>
      <c r="D66" s="1571"/>
      <c r="E66" s="1571">
        <v>19</v>
      </c>
      <c r="F66" s="1572">
        <v>40000</v>
      </c>
      <c r="G66" s="1571"/>
      <c r="H66" s="1572">
        <v>760000</v>
      </c>
      <c r="I66" s="1571"/>
      <c r="J66" s="1574"/>
    </row>
    <row r="67" spans="1:10" s="805" customFormat="1" ht="16">
      <c r="A67" s="1647"/>
      <c r="B67" s="1571" t="s">
        <v>1206</v>
      </c>
      <c r="C67" s="1571" t="s">
        <v>1024</v>
      </c>
      <c r="D67" s="1571"/>
      <c r="E67" s="1571">
        <v>19</v>
      </c>
      <c r="F67" s="1572">
        <v>30000</v>
      </c>
      <c r="G67" s="1571"/>
      <c r="H67" s="1572">
        <v>570000</v>
      </c>
      <c r="I67" s="1571"/>
      <c r="J67" s="1574"/>
    </row>
    <row r="68" spans="1:10" s="805" customFormat="1" ht="16">
      <c r="A68" s="1647"/>
      <c r="B68" s="1571" t="s">
        <v>1207</v>
      </c>
      <c r="C68" s="1571" t="s">
        <v>1208</v>
      </c>
      <c r="D68" s="1571"/>
      <c r="E68" s="1571">
        <v>5</v>
      </c>
      <c r="F68" s="1572">
        <v>50000</v>
      </c>
      <c r="G68" s="1571"/>
      <c r="H68" s="1572">
        <v>250000</v>
      </c>
      <c r="I68" s="1571"/>
      <c r="J68" s="1574"/>
    </row>
    <row r="69" spans="1:10" s="805" customFormat="1" ht="16">
      <c r="A69" s="1647">
        <v>5</v>
      </c>
      <c r="B69" s="1580" t="s">
        <v>1212</v>
      </c>
      <c r="C69" s="1571"/>
      <c r="D69" s="1571"/>
      <c r="E69" s="1571"/>
      <c r="F69" s="1571"/>
      <c r="G69" s="1571"/>
      <c r="H69" s="1577">
        <f>SUM(H62:H68)</f>
        <v>3300000</v>
      </c>
      <c r="I69" s="1571"/>
      <c r="J69" s="1574"/>
    </row>
    <row r="70" spans="1:10" s="805" customFormat="1" ht="16">
      <c r="A70" s="1647"/>
      <c r="B70" s="1571" t="s">
        <v>1195</v>
      </c>
      <c r="C70" s="1571" t="s">
        <v>1199</v>
      </c>
      <c r="D70" s="1571"/>
      <c r="E70" s="1571">
        <v>1</v>
      </c>
      <c r="F70" s="1572">
        <v>450000</v>
      </c>
      <c r="G70" s="1571"/>
      <c r="H70" s="1572">
        <v>450000</v>
      </c>
      <c r="I70" s="1571"/>
      <c r="J70" s="1574"/>
    </row>
    <row r="71" spans="1:10" s="805" customFormat="1" ht="16">
      <c r="A71" s="1647"/>
      <c r="B71" s="1571" t="s">
        <v>1200</v>
      </c>
      <c r="C71" s="1571" t="s">
        <v>1201</v>
      </c>
      <c r="D71" s="1571"/>
      <c r="E71" s="1571">
        <v>4</v>
      </c>
      <c r="F71" s="1572">
        <v>50000</v>
      </c>
      <c r="G71" s="1571"/>
      <c r="H71" s="1572">
        <v>200000</v>
      </c>
      <c r="I71" s="1571"/>
      <c r="J71" s="1574"/>
    </row>
    <row r="72" spans="1:10" s="805" customFormat="1" ht="16">
      <c r="A72" s="1647"/>
      <c r="B72" s="1571" t="s">
        <v>1202</v>
      </c>
      <c r="C72" s="1571" t="s">
        <v>1024</v>
      </c>
      <c r="D72" s="1571"/>
      <c r="E72" s="1571">
        <v>19</v>
      </c>
      <c r="F72" s="1572">
        <v>30000</v>
      </c>
      <c r="G72" s="1571"/>
      <c r="H72" s="1572">
        <v>570000</v>
      </c>
      <c r="I72" s="1571"/>
      <c r="J72" s="1574"/>
    </row>
    <row r="73" spans="1:10" s="805" customFormat="1" ht="16">
      <c r="A73" s="1647"/>
      <c r="B73" s="1571" t="s">
        <v>1203</v>
      </c>
      <c r="C73" s="1571" t="s">
        <v>1177</v>
      </c>
      <c r="D73" s="1571"/>
      <c r="E73" s="1571">
        <v>10</v>
      </c>
      <c r="F73" s="1572">
        <v>50000</v>
      </c>
      <c r="G73" s="1571"/>
      <c r="H73" s="1572">
        <v>500000</v>
      </c>
      <c r="I73" s="1571"/>
      <c r="J73" s="1574"/>
    </row>
    <row r="74" spans="1:10" s="805" customFormat="1" ht="16">
      <c r="A74" s="1647"/>
      <c r="B74" s="1571" t="s">
        <v>1204</v>
      </c>
      <c r="C74" s="1571" t="s">
        <v>1205</v>
      </c>
      <c r="D74" s="1571"/>
      <c r="E74" s="1571">
        <v>19</v>
      </c>
      <c r="F74" s="1572">
        <v>40000</v>
      </c>
      <c r="G74" s="1571"/>
      <c r="H74" s="1572">
        <v>760000</v>
      </c>
      <c r="I74" s="1571"/>
      <c r="J74" s="1574"/>
    </row>
    <row r="75" spans="1:10" s="805" customFormat="1" ht="16">
      <c r="A75" s="1647"/>
      <c r="B75" s="1571" t="s">
        <v>1206</v>
      </c>
      <c r="C75" s="1571" t="s">
        <v>1024</v>
      </c>
      <c r="D75" s="1571"/>
      <c r="E75" s="1571">
        <v>19</v>
      </c>
      <c r="F75" s="1572">
        <v>30000</v>
      </c>
      <c r="G75" s="1571"/>
      <c r="H75" s="1572">
        <v>570000</v>
      </c>
      <c r="I75" s="1571"/>
      <c r="J75" s="1574"/>
    </row>
    <row r="76" spans="1:10" s="805" customFormat="1" ht="16">
      <c r="A76" s="1647"/>
      <c r="B76" s="1571" t="s">
        <v>1207</v>
      </c>
      <c r="C76" s="1571" t="s">
        <v>1208</v>
      </c>
      <c r="D76" s="1571"/>
      <c r="E76" s="1571">
        <v>5</v>
      </c>
      <c r="F76" s="1572">
        <v>50000</v>
      </c>
      <c r="G76" s="1571"/>
      <c r="H76" s="1572">
        <v>250000</v>
      </c>
      <c r="I76" s="1571"/>
      <c r="J76" s="1574"/>
    </row>
    <row r="77" spans="1:10" s="805" customFormat="1" ht="16">
      <c r="A77" s="1647">
        <v>6</v>
      </c>
      <c r="B77" s="1580" t="s">
        <v>1213</v>
      </c>
      <c r="C77" s="1571"/>
      <c r="D77" s="1571"/>
      <c r="E77" s="1571"/>
      <c r="F77" s="1571"/>
      <c r="G77" s="1571"/>
      <c r="H77" s="1577">
        <f>SUM(H70:H76)</f>
        <v>3300000</v>
      </c>
      <c r="I77" s="1571"/>
      <c r="J77" s="1574"/>
    </row>
    <row r="78" spans="1:10" s="805" customFormat="1" ht="16">
      <c r="A78" s="1647"/>
      <c r="B78" s="1571" t="s">
        <v>1195</v>
      </c>
      <c r="C78" s="1571" t="s">
        <v>1199</v>
      </c>
      <c r="D78" s="1571"/>
      <c r="E78" s="1571">
        <v>1</v>
      </c>
      <c r="F78" s="1572">
        <v>450000</v>
      </c>
      <c r="G78" s="1571"/>
      <c r="H78" s="1572">
        <v>450000</v>
      </c>
      <c r="I78" s="1571"/>
      <c r="J78" s="1574"/>
    </row>
    <row r="79" spans="1:10" s="805" customFormat="1" ht="16">
      <c r="A79" s="1647"/>
      <c r="B79" s="1571" t="s">
        <v>1200</v>
      </c>
      <c r="C79" s="1571" t="s">
        <v>1201</v>
      </c>
      <c r="D79" s="1571"/>
      <c r="E79" s="1571">
        <v>4</v>
      </c>
      <c r="F79" s="1572">
        <v>50000</v>
      </c>
      <c r="G79" s="1571"/>
      <c r="H79" s="1572">
        <v>200000</v>
      </c>
      <c r="I79" s="1571"/>
      <c r="J79" s="1574"/>
    </row>
    <row r="80" spans="1:10" s="805" customFormat="1" ht="16">
      <c r="A80" s="1647"/>
      <c r="B80" s="1571" t="s">
        <v>1202</v>
      </c>
      <c r="C80" s="1571" t="s">
        <v>1024</v>
      </c>
      <c r="D80" s="1571"/>
      <c r="E80" s="1571">
        <v>19</v>
      </c>
      <c r="F80" s="1572">
        <v>30000</v>
      </c>
      <c r="G80" s="1571"/>
      <c r="H80" s="1572">
        <v>570000</v>
      </c>
      <c r="I80" s="1571"/>
      <c r="J80" s="1574"/>
    </row>
    <row r="81" spans="1:10" s="805" customFormat="1" ht="16">
      <c r="A81" s="1647"/>
      <c r="B81" s="1571" t="s">
        <v>1203</v>
      </c>
      <c r="C81" s="1571" t="s">
        <v>1177</v>
      </c>
      <c r="D81" s="1571"/>
      <c r="E81" s="1571">
        <v>10</v>
      </c>
      <c r="F81" s="1572">
        <v>50000</v>
      </c>
      <c r="G81" s="1571"/>
      <c r="H81" s="1572">
        <v>500000</v>
      </c>
      <c r="I81" s="1571"/>
      <c r="J81" s="1574"/>
    </row>
    <row r="82" spans="1:10" s="805" customFormat="1" ht="16">
      <c r="A82" s="1647"/>
      <c r="B82" s="1571" t="s">
        <v>1204</v>
      </c>
      <c r="C82" s="1571" t="s">
        <v>1205</v>
      </c>
      <c r="D82" s="1571"/>
      <c r="E82" s="1571">
        <v>19</v>
      </c>
      <c r="F82" s="1572">
        <v>40000</v>
      </c>
      <c r="G82" s="1571"/>
      <c r="H82" s="1572">
        <v>760000</v>
      </c>
      <c r="I82" s="1571"/>
      <c r="J82" s="1574"/>
    </row>
    <row r="83" spans="1:10" s="805" customFormat="1" ht="16">
      <c r="A83" s="1647"/>
      <c r="B83" s="1571" t="s">
        <v>1206</v>
      </c>
      <c r="C83" s="1571" t="s">
        <v>1024</v>
      </c>
      <c r="D83" s="1571"/>
      <c r="E83" s="1571">
        <v>19</v>
      </c>
      <c r="F83" s="1572">
        <v>30000</v>
      </c>
      <c r="G83" s="1571"/>
      <c r="H83" s="1572">
        <v>570000</v>
      </c>
      <c r="I83" s="1571"/>
      <c r="J83" s="1574"/>
    </row>
    <row r="84" spans="1:10" s="805" customFormat="1" ht="16">
      <c r="A84" s="1647"/>
      <c r="B84" s="1571" t="s">
        <v>1207</v>
      </c>
      <c r="C84" s="1571" t="s">
        <v>1208</v>
      </c>
      <c r="D84" s="1571"/>
      <c r="E84" s="1571">
        <v>5</v>
      </c>
      <c r="F84" s="1572">
        <v>50000</v>
      </c>
      <c r="G84" s="1571"/>
      <c r="H84" s="1572">
        <v>250000</v>
      </c>
      <c r="I84" s="1571"/>
      <c r="J84" s="1574"/>
    </row>
    <row r="85" spans="1:10" s="805" customFormat="1" ht="16">
      <c r="A85" s="1647">
        <v>7</v>
      </c>
      <c r="B85" s="1528" t="s">
        <v>1252</v>
      </c>
      <c r="C85" s="1571"/>
      <c r="D85" s="1571"/>
      <c r="E85" s="1571"/>
      <c r="F85" s="1571"/>
      <c r="G85" s="1571"/>
      <c r="H85" s="1577">
        <f>SUM(H78:H84)</f>
        <v>3300000</v>
      </c>
      <c r="I85" s="1571"/>
      <c r="J85" s="1574"/>
    </row>
    <row r="86" spans="1:10" s="805" customFormat="1" ht="16">
      <c r="A86" s="1647"/>
      <c r="B86" s="1571" t="s">
        <v>1195</v>
      </c>
      <c r="C86" s="1571" t="s">
        <v>1199</v>
      </c>
      <c r="D86" s="1571"/>
      <c r="E86" s="1571">
        <v>1</v>
      </c>
      <c r="F86" s="1572">
        <v>450000</v>
      </c>
      <c r="G86" s="1571"/>
      <c r="H86" s="1572">
        <v>450000</v>
      </c>
      <c r="I86" s="1571"/>
      <c r="J86" s="1574"/>
    </row>
    <row r="87" spans="1:10" s="805" customFormat="1" ht="16">
      <c r="A87" s="1647"/>
      <c r="B87" s="1571" t="s">
        <v>1200</v>
      </c>
      <c r="C87" s="1571" t="s">
        <v>1201</v>
      </c>
      <c r="D87" s="1571"/>
      <c r="E87" s="1571">
        <v>4</v>
      </c>
      <c r="F87" s="1572">
        <v>50000</v>
      </c>
      <c r="G87" s="1571"/>
      <c r="H87" s="1572">
        <v>200000</v>
      </c>
      <c r="I87" s="1571"/>
      <c r="J87" s="1574"/>
    </row>
    <row r="88" spans="1:10" s="805" customFormat="1" ht="16">
      <c r="A88" s="1647"/>
      <c r="B88" s="1571" t="s">
        <v>1202</v>
      </c>
      <c r="C88" s="1571" t="s">
        <v>1024</v>
      </c>
      <c r="D88" s="1571"/>
      <c r="E88" s="1571">
        <v>19</v>
      </c>
      <c r="F88" s="1572">
        <v>30000</v>
      </c>
      <c r="G88" s="1571"/>
      <c r="H88" s="1572">
        <v>570000</v>
      </c>
      <c r="I88" s="1571"/>
      <c r="J88" s="1574"/>
    </row>
    <row r="89" spans="1:10" s="805" customFormat="1" ht="16">
      <c r="A89" s="1647"/>
      <c r="B89" s="1571" t="s">
        <v>1203</v>
      </c>
      <c r="C89" s="1571" t="s">
        <v>1177</v>
      </c>
      <c r="D89" s="1571"/>
      <c r="E89" s="1571">
        <v>10</v>
      </c>
      <c r="F89" s="1572">
        <v>50000</v>
      </c>
      <c r="G89" s="1571"/>
      <c r="H89" s="1572">
        <v>500000</v>
      </c>
      <c r="I89" s="1571"/>
      <c r="J89" s="1574"/>
    </row>
    <row r="90" spans="1:10" s="805" customFormat="1" ht="16">
      <c r="A90" s="1647"/>
      <c r="B90" s="1571" t="s">
        <v>1204</v>
      </c>
      <c r="C90" s="1571" t="s">
        <v>1205</v>
      </c>
      <c r="D90" s="1571"/>
      <c r="E90" s="1571">
        <v>19</v>
      </c>
      <c r="F90" s="1572">
        <v>40000</v>
      </c>
      <c r="G90" s="1571"/>
      <c r="H90" s="1572">
        <v>760000</v>
      </c>
      <c r="I90" s="1571"/>
      <c r="J90" s="1574"/>
    </row>
    <row r="91" spans="1:10" s="805" customFormat="1" ht="16">
      <c r="A91" s="1647"/>
      <c r="B91" s="1571" t="s">
        <v>1206</v>
      </c>
      <c r="C91" s="1571" t="s">
        <v>1024</v>
      </c>
      <c r="D91" s="1571"/>
      <c r="E91" s="1571">
        <v>19</v>
      </c>
      <c r="F91" s="1572">
        <v>30000</v>
      </c>
      <c r="G91" s="1571"/>
      <c r="H91" s="1572">
        <v>570000</v>
      </c>
      <c r="I91" s="1571"/>
      <c r="J91" s="1574"/>
    </row>
    <row r="92" spans="1:10" s="805" customFormat="1" ht="16">
      <c r="A92" s="1647"/>
      <c r="B92" s="1571" t="s">
        <v>1207</v>
      </c>
      <c r="C92" s="1571" t="s">
        <v>1208</v>
      </c>
      <c r="D92" s="1571"/>
      <c r="E92" s="1571">
        <v>5</v>
      </c>
      <c r="F92" s="1572">
        <v>50000</v>
      </c>
      <c r="G92" s="1571"/>
      <c r="H92" s="1572">
        <v>250000</v>
      </c>
      <c r="I92" s="1571"/>
      <c r="J92" s="1574"/>
    </row>
    <row r="93" spans="1:10" s="805" customFormat="1" ht="16">
      <c r="A93" s="1647">
        <v>8</v>
      </c>
      <c r="B93" s="1528" t="s">
        <v>1253</v>
      </c>
      <c r="C93" s="1571"/>
      <c r="D93" s="1571"/>
      <c r="E93" s="1571"/>
      <c r="F93" s="1571"/>
      <c r="G93" s="1571"/>
      <c r="H93" s="1577">
        <f>SUM(H86:H92)</f>
        <v>3300000</v>
      </c>
      <c r="I93" s="1571"/>
      <c r="J93" s="1574"/>
    </row>
    <row r="94" spans="1:10" s="805" customFormat="1" ht="16">
      <c r="A94" s="1647"/>
      <c r="B94" s="1571" t="s">
        <v>1195</v>
      </c>
      <c r="C94" s="1571" t="s">
        <v>1199</v>
      </c>
      <c r="D94" s="1571"/>
      <c r="E94" s="1571">
        <v>1</v>
      </c>
      <c r="F94" s="1572">
        <v>450000</v>
      </c>
      <c r="G94" s="1571"/>
      <c r="H94" s="1572">
        <v>450000</v>
      </c>
      <c r="I94" s="1571"/>
      <c r="J94" s="1574"/>
    </row>
    <row r="95" spans="1:10" s="805" customFormat="1" ht="16">
      <c r="A95" s="1647"/>
      <c r="B95" s="1571" t="s">
        <v>1200</v>
      </c>
      <c r="C95" s="1571" t="s">
        <v>1201</v>
      </c>
      <c r="D95" s="1571"/>
      <c r="E95" s="1571">
        <v>4</v>
      </c>
      <c r="F95" s="1572">
        <v>50000</v>
      </c>
      <c r="G95" s="1571"/>
      <c r="H95" s="1572">
        <v>200000</v>
      </c>
      <c r="I95" s="1571"/>
      <c r="J95" s="1574"/>
    </row>
    <row r="96" spans="1:10" s="805" customFormat="1" ht="16">
      <c r="A96" s="1647"/>
      <c r="B96" s="1571" t="s">
        <v>1202</v>
      </c>
      <c r="C96" s="1571" t="s">
        <v>1024</v>
      </c>
      <c r="D96" s="1571"/>
      <c r="E96" s="1571">
        <v>19</v>
      </c>
      <c r="F96" s="1572">
        <v>30000</v>
      </c>
      <c r="G96" s="1571"/>
      <c r="H96" s="1572">
        <v>570000</v>
      </c>
      <c r="I96" s="1571"/>
      <c r="J96" s="1574"/>
    </row>
    <row r="97" spans="1:10" s="805" customFormat="1" ht="16">
      <c r="A97" s="1647"/>
      <c r="B97" s="1571" t="s">
        <v>1254</v>
      </c>
      <c r="C97" s="1571" t="s">
        <v>1177</v>
      </c>
      <c r="D97" s="1571"/>
      <c r="E97" s="1571">
        <v>10</v>
      </c>
      <c r="F97" s="1572">
        <v>50000</v>
      </c>
      <c r="G97" s="1571"/>
      <c r="H97" s="1572">
        <v>500000</v>
      </c>
      <c r="I97" s="1571"/>
      <c r="J97" s="1574"/>
    </row>
    <row r="98" spans="1:10" s="805" customFormat="1" ht="16">
      <c r="A98" s="1647"/>
      <c r="B98" s="1571" t="s">
        <v>1204</v>
      </c>
      <c r="C98" s="1571" t="s">
        <v>1205</v>
      </c>
      <c r="D98" s="1571"/>
      <c r="E98" s="1571">
        <v>19</v>
      </c>
      <c r="F98" s="1572">
        <v>40000</v>
      </c>
      <c r="G98" s="1571"/>
      <c r="H98" s="1572">
        <v>760000</v>
      </c>
      <c r="I98" s="1571"/>
      <c r="J98" s="1574"/>
    </row>
    <row r="99" spans="1:10" s="805" customFormat="1" ht="16">
      <c r="A99" s="1647"/>
      <c r="B99" s="1571" t="s">
        <v>1206</v>
      </c>
      <c r="C99" s="1571" t="s">
        <v>1024</v>
      </c>
      <c r="D99" s="1571"/>
      <c r="E99" s="1571">
        <v>19</v>
      </c>
      <c r="F99" s="1572">
        <v>30000</v>
      </c>
      <c r="G99" s="1571"/>
      <c r="H99" s="1572">
        <v>570000</v>
      </c>
      <c r="I99" s="1571"/>
      <c r="J99" s="1574"/>
    </row>
    <row r="100" spans="1:10" s="805" customFormat="1" ht="16">
      <c r="A100" s="1647"/>
      <c r="B100" s="1571" t="s">
        <v>1207</v>
      </c>
      <c r="C100" s="1571" t="s">
        <v>1208</v>
      </c>
      <c r="D100" s="1571"/>
      <c r="E100" s="1571">
        <v>5</v>
      </c>
      <c r="F100" s="1572">
        <v>50000</v>
      </c>
      <c r="G100" s="1571"/>
      <c r="H100" s="1572">
        <v>250000</v>
      </c>
      <c r="I100" s="1571"/>
      <c r="J100" s="1574"/>
    </row>
    <row r="101" spans="1:10" s="805" customFormat="1" ht="16">
      <c r="A101" s="1647">
        <v>9</v>
      </c>
      <c r="B101" s="1528" t="s">
        <v>1255</v>
      </c>
      <c r="C101" s="1571"/>
      <c r="D101" s="1571"/>
      <c r="E101" s="1571"/>
      <c r="F101" s="1571"/>
      <c r="G101" s="1571"/>
      <c r="H101" s="1577">
        <v>3100000</v>
      </c>
      <c r="I101" s="1571"/>
      <c r="J101" s="1574"/>
    </row>
    <row r="102" spans="1:10" s="805" customFormat="1" ht="16">
      <c r="A102" s="1647"/>
      <c r="B102" s="1571" t="s">
        <v>1195</v>
      </c>
      <c r="C102" s="1571" t="s">
        <v>1199</v>
      </c>
      <c r="D102" s="1571"/>
      <c r="E102" s="1571">
        <v>1</v>
      </c>
      <c r="F102" s="1572">
        <v>450000</v>
      </c>
      <c r="G102" s="1571"/>
      <c r="H102" s="1572">
        <v>450000</v>
      </c>
      <c r="I102" s="1571"/>
      <c r="J102" s="1574"/>
    </row>
    <row r="103" spans="1:10" s="805" customFormat="1" ht="16">
      <c r="A103" s="1647"/>
      <c r="B103" s="1571" t="s">
        <v>1200</v>
      </c>
      <c r="C103" s="1571" t="s">
        <v>1201</v>
      </c>
      <c r="D103" s="1571"/>
      <c r="E103" s="1571">
        <v>4</v>
      </c>
      <c r="F103" s="1572">
        <v>50000</v>
      </c>
      <c r="G103" s="1571"/>
      <c r="H103" s="1572">
        <v>200000</v>
      </c>
      <c r="I103" s="1571"/>
      <c r="J103" s="1574"/>
    </row>
    <row r="104" spans="1:10" s="805" customFormat="1" ht="16">
      <c r="A104" s="1647"/>
      <c r="B104" s="1571" t="s">
        <v>1202</v>
      </c>
      <c r="C104" s="1571" t="s">
        <v>1024</v>
      </c>
      <c r="D104" s="1571"/>
      <c r="E104" s="1571">
        <v>17</v>
      </c>
      <c r="F104" s="1572">
        <v>30000</v>
      </c>
      <c r="G104" s="1571"/>
      <c r="H104" s="1572">
        <v>510000</v>
      </c>
      <c r="I104" s="1571"/>
      <c r="J104" s="1574"/>
    </row>
    <row r="105" spans="1:10" s="805" customFormat="1" ht="16">
      <c r="A105" s="1647"/>
      <c r="B105" s="1571" t="s">
        <v>1254</v>
      </c>
      <c r="C105" s="1571" t="s">
        <v>1177</v>
      </c>
      <c r="D105" s="1571"/>
      <c r="E105" s="1571">
        <v>10</v>
      </c>
      <c r="F105" s="1572">
        <v>50000</v>
      </c>
      <c r="G105" s="1571"/>
      <c r="H105" s="1572">
        <v>500000</v>
      </c>
      <c r="I105" s="1571"/>
      <c r="J105" s="1574"/>
    </row>
    <row r="106" spans="1:10" s="805" customFormat="1" ht="16">
      <c r="A106" s="1647"/>
      <c r="B106" s="1571" t="s">
        <v>1204</v>
      </c>
      <c r="C106" s="1571" t="s">
        <v>1205</v>
      </c>
      <c r="D106" s="1571"/>
      <c r="E106" s="1571">
        <v>17</v>
      </c>
      <c r="F106" s="1572">
        <v>40000</v>
      </c>
      <c r="G106" s="1571"/>
      <c r="H106" s="1572">
        <v>680000</v>
      </c>
      <c r="I106" s="1571"/>
      <c r="J106" s="1574"/>
    </row>
    <row r="107" spans="1:10" s="805" customFormat="1" ht="16">
      <c r="A107" s="1647"/>
      <c r="B107" s="1571" t="s">
        <v>1206</v>
      </c>
      <c r="C107" s="1571" t="s">
        <v>1024</v>
      </c>
      <c r="D107" s="1571"/>
      <c r="E107" s="1571">
        <v>17</v>
      </c>
      <c r="F107" s="1572">
        <v>30000</v>
      </c>
      <c r="G107" s="1571"/>
      <c r="H107" s="1572">
        <v>510000</v>
      </c>
      <c r="I107" s="1571"/>
      <c r="J107" s="1574"/>
    </row>
    <row r="108" spans="1:10" s="805" customFormat="1" ht="16">
      <c r="A108" s="1647"/>
      <c r="B108" s="1571" t="s">
        <v>1207</v>
      </c>
      <c r="C108" s="1571" t="s">
        <v>1208</v>
      </c>
      <c r="D108" s="1571"/>
      <c r="E108" s="1571">
        <v>5</v>
      </c>
      <c r="F108" s="1572">
        <v>50000</v>
      </c>
      <c r="G108" s="1571"/>
      <c r="H108" s="1572">
        <v>250000</v>
      </c>
      <c r="I108" s="1571"/>
      <c r="J108" s="1574"/>
    </row>
    <row r="109" spans="1:10" s="805" customFormat="1" ht="16">
      <c r="A109" s="1647"/>
      <c r="B109" s="1580"/>
      <c r="C109" s="1571"/>
      <c r="D109" s="1571"/>
      <c r="E109" s="1571"/>
      <c r="F109" s="1571"/>
      <c r="G109" s="1571"/>
      <c r="H109" s="1577"/>
      <c r="I109" s="1571"/>
      <c r="J109" s="1574"/>
    </row>
    <row r="110" spans="1:10" s="805" customFormat="1" ht="16">
      <c r="A110" s="1647"/>
      <c r="B110" s="1653" t="s">
        <v>490</v>
      </c>
      <c r="C110" s="1649"/>
      <c r="D110" s="1649"/>
      <c r="E110" s="1649"/>
      <c r="F110" s="1589"/>
      <c r="G110" s="1649"/>
      <c r="H110" s="1589">
        <v>52602000</v>
      </c>
      <c r="I110" s="1649"/>
      <c r="J110" s="1574"/>
    </row>
    <row r="111" spans="1:10" s="805" customFormat="1" ht="17" thickBot="1">
      <c r="A111" s="1650"/>
      <c r="B111" s="1654" t="s">
        <v>1062</v>
      </c>
      <c r="C111" s="1590"/>
      <c r="D111" s="1590"/>
      <c r="E111" s="1590"/>
      <c r="F111" s="1591"/>
      <c r="G111" s="1590"/>
      <c r="H111" s="1592">
        <v>32040000</v>
      </c>
      <c r="I111" s="1590"/>
      <c r="J111" s="1593"/>
    </row>
    <row r="112" spans="1:10" ht="17" thickTop="1">
      <c r="B112" s="806"/>
      <c r="C112" s="806"/>
      <c r="D112" s="806"/>
      <c r="E112" s="806"/>
      <c r="F112" s="806"/>
      <c r="G112" s="806"/>
      <c r="H112" s="806"/>
      <c r="I112" s="806" t="s">
        <v>1256</v>
      </c>
      <c r="J112" s="806" t="s">
        <v>1257</v>
      </c>
    </row>
    <row r="113" spans="2:10" ht="16">
      <c r="B113" s="815" t="s">
        <v>1221</v>
      </c>
      <c r="C113" s="816" t="s">
        <v>1220</v>
      </c>
      <c r="D113" s="817"/>
      <c r="E113" s="817" t="s">
        <v>1219</v>
      </c>
      <c r="F113" s="817"/>
      <c r="G113" s="817" t="s">
        <v>1258</v>
      </c>
      <c r="H113" s="817"/>
      <c r="I113" s="817" t="s">
        <v>1259</v>
      </c>
      <c r="J113" s="806"/>
    </row>
    <row r="114" spans="2:10" ht="16">
      <c r="B114" s="805"/>
      <c r="C114" s="805"/>
      <c r="D114" s="805"/>
      <c r="E114" s="805"/>
      <c r="F114" s="805"/>
      <c r="G114" s="805"/>
      <c r="H114" s="805"/>
      <c r="I114" s="805"/>
      <c r="J114" s="805"/>
    </row>
    <row r="116" spans="2:10" ht="16">
      <c r="B116" s="812"/>
    </row>
  </sheetData>
  <mergeCells count="4">
    <mergeCell ref="A1:B1"/>
    <mergeCell ref="A2:B2"/>
    <mergeCell ref="A3:J3"/>
    <mergeCell ref="A4:J4"/>
  </mergeCells>
  <pageMargins left="0.55000000000000004" right="0.5" top="0.75" bottom="0.57999999999999996" header="0.3" footer="0.3"/>
  <pageSetup paperSize="9" scale="9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46"/>
  <sheetViews>
    <sheetView view="pageBreakPreview" zoomScaleNormal="100" zoomScaleSheetLayoutView="100" workbookViewId="0">
      <selection activeCell="J8" sqref="J8"/>
    </sheetView>
  </sheetViews>
  <sheetFormatPr baseColWidth="10" defaultColWidth="9" defaultRowHeight="16"/>
  <cols>
    <col min="1" max="1" width="6" style="680" customWidth="1"/>
    <col min="2" max="2" width="37.5" style="680" customWidth="1"/>
    <col min="3" max="3" width="8.83203125" style="690" customWidth="1"/>
    <col min="4" max="4" width="8.5" style="690" customWidth="1"/>
    <col min="5" max="5" width="9" style="691" customWidth="1"/>
    <col min="6" max="6" width="12" style="691" customWidth="1"/>
    <col min="7" max="7" width="7.5" style="692" bestFit="1" customWidth="1"/>
    <col min="8" max="8" width="16.83203125" style="691" customWidth="1"/>
    <col min="9" max="9" width="30" style="680" customWidth="1"/>
    <col min="10" max="10" width="16.83203125" style="680" customWidth="1"/>
    <col min="11" max="256" width="9" style="680"/>
    <col min="257" max="257" width="6" style="680" customWidth="1"/>
    <col min="258" max="258" width="39" style="680" customWidth="1"/>
    <col min="259" max="259" width="8.83203125" style="680" customWidth="1"/>
    <col min="260" max="260" width="8.5" style="680" customWidth="1"/>
    <col min="261" max="261" width="7.1640625" style="680" bestFit="1" customWidth="1"/>
    <col min="262" max="262" width="12" style="680" customWidth="1"/>
    <col min="263" max="263" width="7.5" style="680" bestFit="1" customWidth="1"/>
    <col min="264" max="264" width="15.6640625" style="680" customWidth="1"/>
    <col min="265" max="265" width="30" style="680" customWidth="1"/>
    <col min="266" max="266" width="16.83203125" style="680" customWidth="1"/>
    <col min="267" max="512" width="9" style="680"/>
    <col min="513" max="513" width="6" style="680" customWidth="1"/>
    <col min="514" max="514" width="39" style="680" customWidth="1"/>
    <col min="515" max="515" width="8.83203125" style="680" customWidth="1"/>
    <col min="516" max="516" width="8.5" style="680" customWidth="1"/>
    <col min="517" max="517" width="7.1640625" style="680" bestFit="1" customWidth="1"/>
    <col min="518" max="518" width="12" style="680" customWidth="1"/>
    <col min="519" max="519" width="7.5" style="680" bestFit="1" customWidth="1"/>
    <col min="520" max="520" width="15.6640625" style="680" customWidth="1"/>
    <col min="521" max="521" width="30" style="680" customWidth="1"/>
    <col min="522" max="522" width="16.83203125" style="680" customWidth="1"/>
    <col min="523" max="768" width="9" style="680"/>
    <col min="769" max="769" width="6" style="680" customWidth="1"/>
    <col min="770" max="770" width="39" style="680" customWidth="1"/>
    <col min="771" max="771" width="8.83203125" style="680" customWidth="1"/>
    <col min="772" max="772" width="8.5" style="680" customWidth="1"/>
    <col min="773" max="773" width="7.1640625" style="680" bestFit="1" customWidth="1"/>
    <col min="774" max="774" width="12" style="680" customWidth="1"/>
    <col min="775" max="775" width="7.5" style="680" bestFit="1" customWidth="1"/>
    <col min="776" max="776" width="15.6640625" style="680" customWidth="1"/>
    <col min="777" max="777" width="30" style="680" customWidth="1"/>
    <col min="778" max="778" width="16.83203125" style="680" customWidth="1"/>
    <col min="779" max="1024" width="9" style="680"/>
    <col min="1025" max="1025" width="6" style="680" customWidth="1"/>
    <col min="1026" max="1026" width="39" style="680" customWidth="1"/>
    <col min="1027" max="1027" width="8.83203125" style="680" customWidth="1"/>
    <col min="1028" max="1028" width="8.5" style="680" customWidth="1"/>
    <col min="1029" max="1029" width="7.1640625" style="680" bestFit="1" customWidth="1"/>
    <col min="1030" max="1030" width="12" style="680" customWidth="1"/>
    <col min="1031" max="1031" width="7.5" style="680" bestFit="1" customWidth="1"/>
    <col min="1032" max="1032" width="15.6640625" style="680" customWidth="1"/>
    <col min="1033" max="1033" width="30" style="680" customWidth="1"/>
    <col min="1034" max="1034" width="16.83203125" style="680" customWidth="1"/>
    <col min="1035" max="1280" width="9" style="680"/>
    <col min="1281" max="1281" width="6" style="680" customWidth="1"/>
    <col min="1282" max="1282" width="39" style="680" customWidth="1"/>
    <col min="1283" max="1283" width="8.83203125" style="680" customWidth="1"/>
    <col min="1284" max="1284" width="8.5" style="680" customWidth="1"/>
    <col min="1285" max="1285" width="7.1640625" style="680" bestFit="1" customWidth="1"/>
    <col min="1286" max="1286" width="12" style="680" customWidth="1"/>
    <col min="1287" max="1287" width="7.5" style="680" bestFit="1" customWidth="1"/>
    <col min="1288" max="1288" width="15.6640625" style="680" customWidth="1"/>
    <col min="1289" max="1289" width="30" style="680" customWidth="1"/>
    <col min="1290" max="1290" width="16.83203125" style="680" customWidth="1"/>
    <col min="1291" max="1536" width="9" style="680"/>
    <col min="1537" max="1537" width="6" style="680" customWidth="1"/>
    <col min="1538" max="1538" width="39" style="680" customWidth="1"/>
    <col min="1539" max="1539" width="8.83203125" style="680" customWidth="1"/>
    <col min="1540" max="1540" width="8.5" style="680" customWidth="1"/>
    <col min="1541" max="1541" width="7.1640625" style="680" bestFit="1" customWidth="1"/>
    <col min="1542" max="1542" width="12" style="680" customWidth="1"/>
    <col min="1543" max="1543" width="7.5" style="680" bestFit="1" customWidth="1"/>
    <col min="1544" max="1544" width="15.6640625" style="680" customWidth="1"/>
    <col min="1545" max="1545" width="30" style="680" customWidth="1"/>
    <col min="1546" max="1546" width="16.83203125" style="680" customWidth="1"/>
    <col min="1547" max="1792" width="9" style="680"/>
    <col min="1793" max="1793" width="6" style="680" customWidth="1"/>
    <col min="1794" max="1794" width="39" style="680" customWidth="1"/>
    <col min="1795" max="1795" width="8.83203125" style="680" customWidth="1"/>
    <col min="1796" max="1796" width="8.5" style="680" customWidth="1"/>
    <col min="1797" max="1797" width="7.1640625" style="680" bestFit="1" customWidth="1"/>
    <col min="1798" max="1798" width="12" style="680" customWidth="1"/>
    <col min="1799" max="1799" width="7.5" style="680" bestFit="1" customWidth="1"/>
    <col min="1800" max="1800" width="15.6640625" style="680" customWidth="1"/>
    <col min="1801" max="1801" width="30" style="680" customWidth="1"/>
    <col min="1802" max="1802" width="16.83203125" style="680" customWidth="1"/>
    <col min="1803" max="2048" width="9" style="680"/>
    <col min="2049" max="2049" width="6" style="680" customWidth="1"/>
    <col min="2050" max="2050" width="39" style="680" customWidth="1"/>
    <col min="2051" max="2051" width="8.83203125" style="680" customWidth="1"/>
    <col min="2052" max="2052" width="8.5" style="680" customWidth="1"/>
    <col min="2053" max="2053" width="7.1640625" style="680" bestFit="1" customWidth="1"/>
    <col min="2054" max="2054" width="12" style="680" customWidth="1"/>
    <col min="2055" max="2055" width="7.5" style="680" bestFit="1" customWidth="1"/>
    <col min="2056" max="2056" width="15.6640625" style="680" customWidth="1"/>
    <col min="2057" max="2057" width="30" style="680" customWidth="1"/>
    <col min="2058" max="2058" width="16.83203125" style="680" customWidth="1"/>
    <col min="2059" max="2304" width="9" style="680"/>
    <col min="2305" max="2305" width="6" style="680" customWidth="1"/>
    <col min="2306" max="2306" width="39" style="680" customWidth="1"/>
    <col min="2307" max="2307" width="8.83203125" style="680" customWidth="1"/>
    <col min="2308" max="2308" width="8.5" style="680" customWidth="1"/>
    <col min="2309" max="2309" width="7.1640625" style="680" bestFit="1" customWidth="1"/>
    <col min="2310" max="2310" width="12" style="680" customWidth="1"/>
    <col min="2311" max="2311" width="7.5" style="680" bestFit="1" customWidth="1"/>
    <col min="2312" max="2312" width="15.6640625" style="680" customWidth="1"/>
    <col min="2313" max="2313" width="30" style="680" customWidth="1"/>
    <col min="2314" max="2314" width="16.83203125" style="680" customWidth="1"/>
    <col min="2315" max="2560" width="9" style="680"/>
    <col min="2561" max="2561" width="6" style="680" customWidth="1"/>
    <col min="2562" max="2562" width="39" style="680" customWidth="1"/>
    <col min="2563" max="2563" width="8.83203125" style="680" customWidth="1"/>
    <col min="2564" max="2564" width="8.5" style="680" customWidth="1"/>
    <col min="2565" max="2565" width="7.1640625" style="680" bestFit="1" customWidth="1"/>
    <col min="2566" max="2566" width="12" style="680" customWidth="1"/>
    <col min="2567" max="2567" width="7.5" style="680" bestFit="1" customWidth="1"/>
    <col min="2568" max="2568" width="15.6640625" style="680" customWidth="1"/>
    <col min="2569" max="2569" width="30" style="680" customWidth="1"/>
    <col min="2570" max="2570" width="16.83203125" style="680" customWidth="1"/>
    <col min="2571" max="2816" width="9" style="680"/>
    <col min="2817" max="2817" width="6" style="680" customWidth="1"/>
    <col min="2818" max="2818" width="39" style="680" customWidth="1"/>
    <col min="2819" max="2819" width="8.83203125" style="680" customWidth="1"/>
    <col min="2820" max="2820" width="8.5" style="680" customWidth="1"/>
    <col min="2821" max="2821" width="7.1640625" style="680" bestFit="1" customWidth="1"/>
    <col min="2822" max="2822" width="12" style="680" customWidth="1"/>
    <col min="2823" max="2823" width="7.5" style="680" bestFit="1" customWidth="1"/>
    <col min="2824" max="2824" width="15.6640625" style="680" customWidth="1"/>
    <col min="2825" max="2825" width="30" style="680" customWidth="1"/>
    <col min="2826" max="2826" width="16.83203125" style="680" customWidth="1"/>
    <col min="2827" max="3072" width="9" style="680"/>
    <col min="3073" max="3073" width="6" style="680" customWidth="1"/>
    <col min="3074" max="3074" width="39" style="680" customWidth="1"/>
    <col min="3075" max="3075" width="8.83203125" style="680" customWidth="1"/>
    <col min="3076" max="3076" width="8.5" style="680" customWidth="1"/>
    <col min="3077" max="3077" width="7.1640625" style="680" bestFit="1" customWidth="1"/>
    <col min="3078" max="3078" width="12" style="680" customWidth="1"/>
    <col min="3079" max="3079" width="7.5" style="680" bestFit="1" customWidth="1"/>
    <col min="3080" max="3080" width="15.6640625" style="680" customWidth="1"/>
    <col min="3081" max="3081" width="30" style="680" customWidth="1"/>
    <col min="3082" max="3082" width="16.83203125" style="680" customWidth="1"/>
    <col min="3083" max="3328" width="9" style="680"/>
    <col min="3329" max="3329" width="6" style="680" customWidth="1"/>
    <col min="3330" max="3330" width="39" style="680" customWidth="1"/>
    <col min="3331" max="3331" width="8.83203125" style="680" customWidth="1"/>
    <col min="3332" max="3332" width="8.5" style="680" customWidth="1"/>
    <col min="3333" max="3333" width="7.1640625" style="680" bestFit="1" customWidth="1"/>
    <col min="3334" max="3334" width="12" style="680" customWidth="1"/>
    <col min="3335" max="3335" width="7.5" style="680" bestFit="1" customWidth="1"/>
    <col min="3336" max="3336" width="15.6640625" style="680" customWidth="1"/>
    <col min="3337" max="3337" width="30" style="680" customWidth="1"/>
    <col min="3338" max="3338" width="16.83203125" style="680" customWidth="1"/>
    <col min="3339" max="3584" width="9" style="680"/>
    <col min="3585" max="3585" width="6" style="680" customWidth="1"/>
    <col min="3586" max="3586" width="39" style="680" customWidth="1"/>
    <col min="3587" max="3587" width="8.83203125" style="680" customWidth="1"/>
    <col min="3588" max="3588" width="8.5" style="680" customWidth="1"/>
    <col min="3589" max="3589" width="7.1640625" style="680" bestFit="1" customWidth="1"/>
    <col min="3590" max="3590" width="12" style="680" customWidth="1"/>
    <col min="3591" max="3591" width="7.5" style="680" bestFit="1" customWidth="1"/>
    <col min="3592" max="3592" width="15.6640625" style="680" customWidth="1"/>
    <col min="3593" max="3593" width="30" style="680" customWidth="1"/>
    <col min="3594" max="3594" width="16.83203125" style="680" customWidth="1"/>
    <col min="3595" max="3840" width="9" style="680"/>
    <col min="3841" max="3841" width="6" style="680" customWidth="1"/>
    <col min="3842" max="3842" width="39" style="680" customWidth="1"/>
    <col min="3843" max="3843" width="8.83203125" style="680" customWidth="1"/>
    <col min="3844" max="3844" width="8.5" style="680" customWidth="1"/>
    <col min="3845" max="3845" width="7.1640625" style="680" bestFit="1" customWidth="1"/>
    <col min="3846" max="3846" width="12" style="680" customWidth="1"/>
    <col min="3847" max="3847" width="7.5" style="680" bestFit="1" customWidth="1"/>
    <col min="3848" max="3848" width="15.6640625" style="680" customWidth="1"/>
    <col min="3849" max="3849" width="30" style="680" customWidth="1"/>
    <col min="3850" max="3850" width="16.83203125" style="680" customWidth="1"/>
    <col min="3851" max="4096" width="9" style="680"/>
    <col min="4097" max="4097" width="6" style="680" customWidth="1"/>
    <col min="4098" max="4098" width="39" style="680" customWidth="1"/>
    <col min="4099" max="4099" width="8.83203125" style="680" customWidth="1"/>
    <col min="4100" max="4100" width="8.5" style="680" customWidth="1"/>
    <col min="4101" max="4101" width="7.1640625" style="680" bestFit="1" customWidth="1"/>
    <col min="4102" max="4102" width="12" style="680" customWidth="1"/>
    <col min="4103" max="4103" width="7.5" style="680" bestFit="1" customWidth="1"/>
    <col min="4104" max="4104" width="15.6640625" style="680" customWidth="1"/>
    <col min="4105" max="4105" width="30" style="680" customWidth="1"/>
    <col min="4106" max="4106" width="16.83203125" style="680" customWidth="1"/>
    <col min="4107" max="4352" width="9" style="680"/>
    <col min="4353" max="4353" width="6" style="680" customWidth="1"/>
    <col min="4354" max="4354" width="39" style="680" customWidth="1"/>
    <col min="4355" max="4355" width="8.83203125" style="680" customWidth="1"/>
    <col min="4356" max="4356" width="8.5" style="680" customWidth="1"/>
    <col min="4357" max="4357" width="7.1640625" style="680" bestFit="1" customWidth="1"/>
    <col min="4358" max="4358" width="12" style="680" customWidth="1"/>
    <col min="4359" max="4359" width="7.5" style="680" bestFit="1" customWidth="1"/>
    <col min="4360" max="4360" width="15.6640625" style="680" customWidth="1"/>
    <col min="4361" max="4361" width="30" style="680" customWidth="1"/>
    <col min="4362" max="4362" width="16.83203125" style="680" customWidth="1"/>
    <col min="4363" max="4608" width="9" style="680"/>
    <col min="4609" max="4609" width="6" style="680" customWidth="1"/>
    <col min="4610" max="4610" width="39" style="680" customWidth="1"/>
    <col min="4611" max="4611" width="8.83203125" style="680" customWidth="1"/>
    <col min="4612" max="4612" width="8.5" style="680" customWidth="1"/>
    <col min="4613" max="4613" width="7.1640625" style="680" bestFit="1" customWidth="1"/>
    <col min="4614" max="4614" width="12" style="680" customWidth="1"/>
    <col min="4615" max="4615" width="7.5" style="680" bestFit="1" customWidth="1"/>
    <col min="4616" max="4616" width="15.6640625" style="680" customWidth="1"/>
    <col min="4617" max="4617" width="30" style="680" customWidth="1"/>
    <col min="4618" max="4618" width="16.83203125" style="680" customWidth="1"/>
    <col min="4619" max="4864" width="9" style="680"/>
    <col min="4865" max="4865" width="6" style="680" customWidth="1"/>
    <col min="4866" max="4866" width="39" style="680" customWidth="1"/>
    <col min="4867" max="4867" width="8.83203125" style="680" customWidth="1"/>
    <col min="4868" max="4868" width="8.5" style="680" customWidth="1"/>
    <col min="4869" max="4869" width="7.1640625" style="680" bestFit="1" customWidth="1"/>
    <col min="4870" max="4870" width="12" style="680" customWidth="1"/>
    <col min="4871" max="4871" width="7.5" style="680" bestFit="1" customWidth="1"/>
    <col min="4872" max="4872" width="15.6640625" style="680" customWidth="1"/>
    <col min="4873" max="4873" width="30" style="680" customWidth="1"/>
    <col min="4874" max="4874" width="16.83203125" style="680" customWidth="1"/>
    <col min="4875" max="5120" width="9" style="680"/>
    <col min="5121" max="5121" width="6" style="680" customWidth="1"/>
    <col min="5122" max="5122" width="39" style="680" customWidth="1"/>
    <col min="5123" max="5123" width="8.83203125" style="680" customWidth="1"/>
    <col min="5124" max="5124" width="8.5" style="680" customWidth="1"/>
    <col min="5125" max="5125" width="7.1640625" style="680" bestFit="1" customWidth="1"/>
    <col min="5126" max="5126" width="12" style="680" customWidth="1"/>
    <col min="5127" max="5127" width="7.5" style="680" bestFit="1" customWidth="1"/>
    <col min="5128" max="5128" width="15.6640625" style="680" customWidth="1"/>
    <col min="5129" max="5129" width="30" style="680" customWidth="1"/>
    <col min="5130" max="5130" width="16.83203125" style="680" customWidth="1"/>
    <col min="5131" max="5376" width="9" style="680"/>
    <col min="5377" max="5377" width="6" style="680" customWidth="1"/>
    <col min="5378" max="5378" width="39" style="680" customWidth="1"/>
    <col min="5379" max="5379" width="8.83203125" style="680" customWidth="1"/>
    <col min="5380" max="5380" width="8.5" style="680" customWidth="1"/>
    <col min="5381" max="5381" width="7.1640625" style="680" bestFit="1" customWidth="1"/>
    <col min="5382" max="5382" width="12" style="680" customWidth="1"/>
    <col min="5383" max="5383" width="7.5" style="680" bestFit="1" customWidth="1"/>
    <col min="5384" max="5384" width="15.6640625" style="680" customWidth="1"/>
    <col min="5385" max="5385" width="30" style="680" customWidth="1"/>
    <col min="5386" max="5386" width="16.83203125" style="680" customWidth="1"/>
    <col min="5387" max="5632" width="9" style="680"/>
    <col min="5633" max="5633" width="6" style="680" customWidth="1"/>
    <col min="5634" max="5634" width="39" style="680" customWidth="1"/>
    <col min="5635" max="5635" width="8.83203125" style="680" customWidth="1"/>
    <col min="5636" max="5636" width="8.5" style="680" customWidth="1"/>
    <col min="5637" max="5637" width="7.1640625" style="680" bestFit="1" customWidth="1"/>
    <col min="5638" max="5638" width="12" style="680" customWidth="1"/>
    <col min="5639" max="5639" width="7.5" style="680" bestFit="1" customWidth="1"/>
    <col min="5640" max="5640" width="15.6640625" style="680" customWidth="1"/>
    <col min="5641" max="5641" width="30" style="680" customWidth="1"/>
    <col min="5642" max="5642" width="16.83203125" style="680" customWidth="1"/>
    <col min="5643" max="5888" width="9" style="680"/>
    <col min="5889" max="5889" width="6" style="680" customWidth="1"/>
    <col min="5890" max="5890" width="39" style="680" customWidth="1"/>
    <col min="5891" max="5891" width="8.83203125" style="680" customWidth="1"/>
    <col min="5892" max="5892" width="8.5" style="680" customWidth="1"/>
    <col min="5893" max="5893" width="7.1640625" style="680" bestFit="1" customWidth="1"/>
    <col min="5894" max="5894" width="12" style="680" customWidth="1"/>
    <col min="5895" max="5895" width="7.5" style="680" bestFit="1" customWidth="1"/>
    <col min="5896" max="5896" width="15.6640625" style="680" customWidth="1"/>
    <col min="5897" max="5897" width="30" style="680" customWidth="1"/>
    <col min="5898" max="5898" width="16.83203125" style="680" customWidth="1"/>
    <col min="5899" max="6144" width="9" style="680"/>
    <col min="6145" max="6145" width="6" style="680" customWidth="1"/>
    <col min="6146" max="6146" width="39" style="680" customWidth="1"/>
    <col min="6147" max="6147" width="8.83203125" style="680" customWidth="1"/>
    <col min="6148" max="6148" width="8.5" style="680" customWidth="1"/>
    <col min="6149" max="6149" width="7.1640625" style="680" bestFit="1" customWidth="1"/>
    <col min="6150" max="6150" width="12" style="680" customWidth="1"/>
    <col min="6151" max="6151" width="7.5" style="680" bestFit="1" customWidth="1"/>
    <col min="6152" max="6152" width="15.6640625" style="680" customWidth="1"/>
    <col min="6153" max="6153" width="30" style="680" customWidth="1"/>
    <col min="6154" max="6154" width="16.83203125" style="680" customWidth="1"/>
    <col min="6155" max="6400" width="9" style="680"/>
    <col min="6401" max="6401" width="6" style="680" customWidth="1"/>
    <col min="6402" max="6402" width="39" style="680" customWidth="1"/>
    <col min="6403" max="6403" width="8.83203125" style="680" customWidth="1"/>
    <col min="6404" max="6404" width="8.5" style="680" customWidth="1"/>
    <col min="6405" max="6405" width="7.1640625" style="680" bestFit="1" customWidth="1"/>
    <col min="6406" max="6406" width="12" style="680" customWidth="1"/>
    <col min="6407" max="6407" width="7.5" style="680" bestFit="1" customWidth="1"/>
    <col min="6408" max="6408" width="15.6640625" style="680" customWidth="1"/>
    <col min="6409" max="6409" width="30" style="680" customWidth="1"/>
    <col min="6410" max="6410" width="16.83203125" style="680" customWidth="1"/>
    <col min="6411" max="6656" width="9" style="680"/>
    <col min="6657" max="6657" width="6" style="680" customWidth="1"/>
    <col min="6658" max="6658" width="39" style="680" customWidth="1"/>
    <col min="6659" max="6659" width="8.83203125" style="680" customWidth="1"/>
    <col min="6660" max="6660" width="8.5" style="680" customWidth="1"/>
    <col min="6661" max="6661" width="7.1640625" style="680" bestFit="1" customWidth="1"/>
    <col min="6662" max="6662" width="12" style="680" customWidth="1"/>
    <col min="6663" max="6663" width="7.5" style="680" bestFit="1" customWidth="1"/>
    <col min="6664" max="6664" width="15.6640625" style="680" customWidth="1"/>
    <col min="6665" max="6665" width="30" style="680" customWidth="1"/>
    <col min="6666" max="6666" width="16.83203125" style="680" customWidth="1"/>
    <col min="6667" max="6912" width="9" style="680"/>
    <col min="6913" max="6913" width="6" style="680" customWidth="1"/>
    <col min="6914" max="6914" width="39" style="680" customWidth="1"/>
    <col min="6915" max="6915" width="8.83203125" style="680" customWidth="1"/>
    <col min="6916" max="6916" width="8.5" style="680" customWidth="1"/>
    <col min="6917" max="6917" width="7.1640625" style="680" bestFit="1" customWidth="1"/>
    <col min="6918" max="6918" width="12" style="680" customWidth="1"/>
    <col min="6919" max="6919" width="7.5" style="680" bestFit="1" customWidth="1"/>
    <col min="6920" max="6920" width="15.6640625" style="680" customWidth="1"/>
    <col min="6921" max="6921" width="30" style="680" customWidth="1"/>
    <col min="6922" max="6922" width="16.83203125" style="680" customWidth="1"/>
    <col min="6923" max="7168" width="9" style="680"/>
    <col min="7169" max="7169" width="6" style="680" customWidth="1"/>
    <col min="7170" max="7170" width="39" style="680" customWidth="1"/>
    <col min="7171" max="7171" width="8.83203125" style="680" customWidth="1"/>
    <col min="7172" max="7172" width="8.5" style="680" customWidth="1"/>
    <col min="7173" max="7173" width="7.1640625" style="680" bestFit="1" customWidth="1"/>
    <col min="7174" max="7174" width="12" style="680" customWidth="1"/>
    <col min="7175" max="7175" width="7.5" style="680" bestFit="1" customWidth="1"/>
    <col min="7176" max="7176" width="15.6640625" style="680" customWidth="1"/>
    <col min="7177" max="7177" width="30" style="680" customWidth="1"/>
    <col min="7178" max="7178" width="16.83203125" style="680" customWidth="1"/>
    <col min="7179" max="7424" width="9" style="680"/>
    <col min="7425" max="7425" width="6" style="680" customWidth="1"/>
    <col min="7426" max="7426" width="39" style="680" customWidth="1"/>
    <col min="7427" max="7427" width="8.83203125" style="680" customWidth="1"/>
    <col min="7428" max="7428" width="8.5" style="680" customWidth="1"/>
    <col min="7429" max="7429" width="7.1640625" style="680" bestFit="1" customWidth="1"/>
    <col min="7430" max="7430" width="12" style="680" customWidth="1"/>
    <col min="7431" max="7431" width="7.5" style="680" bestFit="1" customWidth="1"/>
    <col min="7432" max="7432" width="15.6640625" style="680" customWidth="1"/>
    <col min="7433" max="7433" width="30" style="680" customWidth="1"/>
    <col min="7434" max="7434" width="16.83203125" style="680" customWidth="1"/>
    <col min="7435" max="7680" width="9" style="680"/>
    <col min="7681" max="7681" width="6" style="680" customWidth="1"/>
    <col min="7682" max="7682" width="39" style="680" customWidth="1"/>
    <col min="7683" max="7683" width="8.83203125" style="680" customWidth="1"/>
    <col min="7684" max="7684" width="8.5" style="680" customWidth="1"/>
    <col min="7685" max="7685" width="7.1640625" style="680" bestFit="1" customWidth="1"/>
    <col min="7686" max="7686" width="12" style="680" customWidth="1"/>
    <col min="7687" max="7687" width="7.5" style="680" bestFit="1" customWidth="1"/>
    <col min="7688" max="7688" width="15.6640625" style="680" customWidth="1"/>
    <col min="7689" max="7689" width="30" style="680" customWidth="1"/>
    <col min="7690" max="7690" width="16.83203125" style="680" customWidth="1"/>
    <col min="7691" max="7936" width="9" style="680"/>
    <col min="7937" max="7937" width="6" style="680" customWidth="1"/>
    <col min="7938" max="7938" width="39" style="680" customWidth="1"/>
    <col min="7939" max="7939" width="8.83203125" style="680" customWidth="1"/>
    <col min="7940" max="7940" width="8.5" style="680" customWidth="1"/>
    <col min="7941" max="7941" width="7.1640625" style="680" bestFit="1" customWidth="1"/>
    <col min="7942" max="7942" width="12" style="680" customWidth="1"/>
    <col min="7943" max="7943" width="7.5" style="680" bestFit="1" customWidth="1"/>
    <col min="7944" max="7944" width="15.6640625" style="680" customWidth="1"/>
    <col min="7945" max="7945" width="30" style="680" customWidth="1"/>
    <col min="7946" max="7946" width="16.83203125" style="680" customWidth="1"/>
    <col min="7947" max="8192" width="9" style="680"/>
    <col min="8193" max="8193" width="6" style="680" customWidth="1"/>
    <col min="8194" max="8194" width="39" style="680" customWidth="1"/>
    <col min="8195" max="8195" width="8.83203125" style="680" customWidth="1"/>
    <col min="8196" max="8196" width="8.5" style="680" customWidth="1"/>
    <col min="8197" max="8197" width="7.1640625" style="680" bestFit="1" customWidth="1"/>
    <col min="8198" max="8198" width="12" style="680" customWidth="1"/>
    <col min="8199" max="8199" width="7.5" style="680" bestFit="1" customWidth="1"/>
    <col min="8200" max="8200" width="15.6640625" style="680" customWidth="1"/>
    <col min="8201" max="8201" width="30" style="680" customWidth="1"/>
    <col min="8202" max="8202" width="16.83203125" style="680" customWidth="1"/>
    <col min="8203" max="8448" width="9" style="680"/>
    <col min="8449" max="8449" width="6" style="680" customWidth="1"/>
    <col min="8450" max="8450" width="39" style="680" customWidth="1"/>
    <col min="8451" max="8451" width="8.83203125" style="680" customWidth="1"/>
    <col min="8452" max="8452" width="8.5" style="680" customWidth="1"/>
    <col min="8453" max="8453" width="7.1640625" style="680" bestFit="1" customWidth="1"/>
    <col min="8454" max="8454" width="12" style="680" customWidth="1"/>
    <col min="8455" max="8455" width="7.5" style="680" bestFit="1" customWidth="1"/>
    <col min="8456" max="8456" width="15.6640625" style="680" customWidth="1"/>
    <col min="8457" max="8457" width="30" style="680" customWidth="1"/>
    <col min="8458" max="8458" width="16.83203125" style="680" customWidth="1"/>
    <col min="8459" max="8704" width="9" style="680"/>
    <col min="8705" max="8705" width="6" style="680" customWidth="1"/>
    <col min="8706" max="8706" width="39" style="680" customWidth="1"/>
    <col min="8707" max="8707" width="8.83203125" style="680" customWidth="1"/>
    <col min="8708" max="8708" width="8.5" style="680" customWidth="1"/>
    <col min="8709" max="8709" width="7.1640625" style="680" bestFit="1" customWidth="1"/>
    <col min="8710" max="8710" width="12" style="680" customWidth="1"/>
    <col min="8711" max="8711" width="7.5" style="680" bestFit="1" customWidth="1"/>
    <col min="8712" max="8712" width="15.6640625" style="680" customWidth="1"/>
    <col min="8713" max="8713" width="30" style="680" customWidth="1"/>
    <col min="8714" max="8714" width="16.83203125" style="680" customWidth="1"/>
    <col min="8715" max="8960" width="9" style="680"/>
    <col min="8961" max="8961" width="6" style="680" customWidth="1"/>
    <col min="8962" max="8962" width="39" style="680" customWidth="1"/>
    <col min="8963" max="8963" width="8.83203125" style="680" customWidth="1"/>
    <col min="8964" max="8964" width="8.5" style="680" customWidth="1"/>
    <col min="8965" max="8965" width="7.1640625" style="680" bestFit="1" customWidth="1"/>
    <col min="8966" max="8966" width="12" style="680" customWidth="1"/>
    <col min="8967" max="8967" width="7.5" style="680" bestFit="1" customWidth="1"/>
    <col min="8968" max="8968" width="15.6640625" style="680" customWidth="1"/>
    <col min="8969" max="8969" width="30" style="680" customWidth="1"/>
    <col min="8970" max="8970" width="16.83203125" style="680" customWidth="1"/>
    <col min="8971" max="9216" width="9" style="680"/>
    <col min="9217" max="9217" width="6" style="680" customWidth="1"/>
    <col min="9218" max="9218" width="39" style="680" customWidth="1"/>
    <col min="9219" max="9219" width="8.83203125" style="680" customWidth="1"/>
    <col min="9220" max="9220" width="8.5" style="680" customWidth="1"/>
    <col min="9221" max="9221" width="7.1640625" style="680" bestFit="1" customWidth="1"/>
    <col min="9222" max="9222" width="12" style="680" customWidth="1"/>
    <col min="9223" max="9223" width="7.5" style="680" bestFit="1" customWidth="1"/>
    <col min="9224" max="9224" width="15.6640625" style="680" customWidth="1"/>
    <col min="9225" max="9225" width="30" style="680" customWidth="1"/>
    <col min="9226" max="9226" width="16.83203125" style="680" customWidth="1"/>
    <col min="9227" max="9472" width="9" style="680"/>
    <col min="9473" max="9473" width="6" style="680" customWidth="1"/>
    <col min="9474" max="9474" width="39" style="680" customWidth="1"/>
    <col min="9475" max="9475" width="8.83203125" style="680" customWidth="1"/>
    <col min="9476" max="9476" width="8.5" style="680" customWidth="1"/>
    <col min="9477" max="9477" width="7.1640625" style="680" bestFit="1" customWidth="1"/>
    <col min="9478" max="9478" width="12" style="680" customWidth="1"/>
    <col min="9479" max="9479" width="7.5" style="680" bestFit="1" customWidth="1"/>
    <col min="9480" max="9480" width="15.6640625" style="680" customWidth="1"/>
    <col min="9481" max="9481" width="30" style="680" customWidth="1"/>
    <col min="9482" max="9482" width="16.83203125" style="680" customWidth="1"/>
    <col min="9483" max="9728" width="9" style="680"/>
    <col min="9729" max="9729" width="6" style="680" customWidth="1"/>
    <col min="9730" max="9730" width="39" style="680" customWidth="1"/>
    <col min="9731" max="9731" width="8.83203125" style="680" customWidth="1"/>
    <col min="9732" max="9732" width="8.5" style="680" customWidth="1"/>
    <col min="9733" max="9733" width="7.1640625" style="680" bestFit="1" customWidth="1"/>
    <col min="9734" max="9734" width="12" style="680" customWidth="1"/>
    <col min="9735" max="9735" width="7.5" style="680" bestFit="1" customWidth="1"/>
    <col min="9736" max="9736" width="15.6640625" style="680" customWidth="1"/>
    <col min="9737" max="9737" width="30" style="680" customWidth="1"/>
    <col min="9738" max="9738" width="16.83203125" style="680" customWidth="1"/>
    <col min="9739" max="9984" width="9" style="680"/>
    <col min="9985" max="9985" width="6" style="680" customWidth="1"/>
    <col min="9986" max="9986" width="39" style="680" customWidth="1"/>
    <col min="9987" max="9987" width="8.83203125" style="680" customWidth="1"/>
    <col min="9988" max="9988" width="8.5" style="680" customWidth="1"/>
    <col min="9989" max="9989" width="7.1640625" style="680" bestFit="1" customWidth="1"/>
    <col min="9990" max="9990" width="12" style="680" customWidth="1"/>
    <col min="9991" max="9991" width="7.5" style="680" bestFit="1" customWidth="1"/>
    <col min="9992" max="9992" width="15.6640625" style="680" customWidth="1"/>
    <col min="9993" max="9993" width="30" style="680" customWidth="1"/>
    <col min="9994" max="9994" width="16.83203125" style="680" customWidth="1"/>
    <col min="9995" max="10240" width="9" style="680"/>
    <col min="10241" max="10241" width="6" style="680" customWidth="1"/>
    <col min="10242" max="10242" width="39" style="680" customWidth="1"/>
    <col min="10243" max="10243" width="8.83203125" style="680" customWidth="1"/>
    <col min="10244" max="10244" width="8.5" style="680" customWidth="1"/>
    <col min="10245" max="10245" width="7.1640625" style="680" bestFit="1" customWidth="1"/>
    <col min="10246" max="10246" width="12" style="680" customWidth="1"/>
    <col min="10247" max="10247" width="7.5" style="680" bestFit="1" customWidth="1"/>
    <col min="10248" max="10248" width="15.6640625" style="680" customWidth="1"/>
    <col min="10249" max="10249" width="30" style="680" customWidth="1"/>
    <col min="10250" max="10250" width="16.83203125" style="680" customWidth="1"/>
    <col min="10251" max="10496" width="9" style="680"/>
    <col min="10497" max="10497" width="6" style="680" customWidth="1"/>
    <col min="10498" max="10498" width="39" style="680" customWidth="1"/>
    <col min="10499" max="10499" width="8.83203125" style="680" customWidth="1"/>
    <col min="10500" max="10500" width="8.5" style="680" customWidth="1"/>
    <col min="10501" max="10501" width="7.1640625" style="680" bestFit="1" customWidth="1"/>
    <col min="10502" max="10502" width="12" style="680" customWidth="1"/>
    <col min="10503" max="10503" width="7.5" style="680" bestFit="1" customWidth="1"/>
    <col min="10504" max="10504" width="15.6640625" style="680" customWidth="1"/>
    <col min="10505" max="10505" width="30" style="680" customWidth="1"/>
    <col min="10506" max="10506" width="16.83203125" style="680" customWidth="1"/>
    <col min="10507" max="10752" width="9" style="680"/>
    <col min="10753" max="10753" width="6" style="680" customWidth="1"/>
    <col min="10754" max="10754" width="39" style="680" customWidth="1"/>
    <col min="10755" max="10755" width="8.83203125" style="680" customWidth="1"/>
    <col min="10756" max="10756" width="8.5" style="680" customWidth="1"/>
    <col min="10757" max="10757" width="7.1640625" style="680" bestFit="1" customWidth="1"/>
    <col min="10758" max="10758" width="12" style="680" customWidth="1"/>
    <col min="10759" max="10759" width="7.5" style="680" bestFit="1" customWidth="1"/>
    <col min="10760" max="10760" width="15.6640625" style="680" customWidth="1"/>
    <col min="10761" max="10761" width="30" style="680" customWidth="1"/>
    <col min="10762" max="10762" width="16.83203125" style="680" customWidth="1"/>
    <col min="10763" max="11008" width="9" style="680"/>
    <col min="11009" max="11009" width="6" style="680" customWidth="1"/>
    <col min="11010" max="11010" width="39" style="680" customWidth="1"/>
    <col min="11011" max="11011" width="8.83203125" style="680" customWidth="1"/>
    <col min="11012" max="11012" width="8.5" style="680" customWidth="1"/>
    <col min="11013" max="11013" width="7.1640625" style="680" bestFit="1" customWidth="1"/>
    <col min="11014" max="11014" width="12" style="680" customWidth="1"/>
    <col min="11015" max="11015" width="7.5" style="680" bestFit="1" customWidth="1"/>
    <col min="11016" max="11016" width="15.6640625" style="680" customWidth="1"/>
    <col min="11017" max="11017" width="30" style="680" customWidth="1"/>
    <col min="11018" max="11018" width="16.83203125" style="680" customWidth="1"/>
    <col min="11019" max="11264" width="9" style="680"/>
    <col min="11265" max="11265" width="6" style="680" customWidth="1"/>
    <col min="11266" max="11266" width="39" style="680" customWidth="1"/>
    <col min="11267" max="11267" width="8.83203125" style="680" customWidth="1"/>
    <col min="11268" max="11268" width="8.5" style="680" customWidth="1"/>
    <col min="11269" max="11269" width="7.1640625" style="680" bestFit="1" customWidth="1"/>
    <col min="11270" max="11270" width="12" style="680" customWidth="1"/>
    <col min="11271" max="11271" width="7.5" style="680" bestFit="1" customWidth="1"/>
    <col min="11272" max="11272" width="15.6640625" style="680" customWidth="1"/>
    <col min="11273" max="11273" width="30" style="680" customWidth="1"/>
    <col min="11274" max="11274" width="16.83203125" style="680" customWidth="1"/>
    <col min="11275" max="11520" width="9" style="680"/>
    <col min="11521" max="11521" width="6" style="680" customWidth="1"/>
    <col min="11522" max="11522" width="39" style="680" customWidth="1"/>
    <col min="11523" max="11523" width="8.83203125" style="680" customWidth="1"/>
    <col min="11524" max="11524" width="8.5" style="680" customWidth="1"/>
    <col min="11525" max="11525" width="7.1640625" style="680" bestFit="1" customWidth="1"/>
    <col min="11526" max="11526" width="12" style="680" customWidth="1"/>
    <col min="11527" max="11527" width="7.5" style="680" bestFit="1" customWidth="1"/>
    <col min="11528" max="11528" width="15.6640625" style="680" customWidth="1"/>
    <col min="11529" max="11529" width="30" style="680" customWidth="1"/>
    <col min="11530" max="11530" width="16.83203125" style="680" customWidth="1"/>
    <col min="11531" max="11776" width="9" style="680"/>
    <col min="11777" max="11777" width="6" style="680" customWidth="1"/>
    <col min="11778" max="11778" width="39" style="680" customWidth="1"/>
    <col min="11779" max="11779" width="8.83203125" style="680" customWidth="1"/>
    <col min="11780" max="11780" width="8.5" style="680" customWidth="1"/>
    <col min="11781" max="11781" width="7.1640625" style="680" bestFit="1" customWidth="1"/>
    <col min="11782" max="11782" width="12" style="680" customWidth="1"/>
    <col min="11783" max="11783" width="7.5" style="680" bestFit="1" customWidth="1"/>
    <col min="11784" max="11784" width="15.6640625" style="680" customWidth="1"/>
    <col min="11785" max="11785" width="30" style="680" customWidth="1"/>
    <col min="11786" max="11786" width="16.83203125" style="680" customWidth="1"/>
    <col min="11787" max="12032" width="9" style="680"/>
    <col min="12033" max="12033" width="6" style="680" customWidth="1"/>
    <col min="12034" max="12034" width="39" style="680" customWidth="1"/>
    <col min="12035" max="12035" width="8.83203125" style="680" customWidth="1"/>
    <col min="12036" max="12036" width="8.5" style="680" customWidth="1"/>
    <col min="12037" max="12037" width="7.1640625" style="680" bestFit="1" customWidth="1"/>
    <col min="12038" max="12038" width="12" style="680" customWidth="1"/>
    <col min="12039" max="12039" width="7.5" style="680" bestFit="1" customWidth="1"/>
    <col min="12040" max="12040" width="15.6640625" style="680" customWidth="1"/>
    <col min="12041" max="12041" width="30" style="680" customWidth="1"/>
    <col min="12042" max="12042" width="16.83203125" style="680" customWidth="1"/>
    <col min="12043" max="12288" width="9" style="680"/>
    <col min="12289" max="12289" width="6" style="680" customWidth="1"/>
    <col min="12290" max="12290" width="39" style="680" customWidth="1"/>
    <col min="12291" max="12291" width="8.83203125" style="680" customWidth="1"/>
    <col min="12292" max="12292" width="8.5" style="680" customWidth="1"/>
    <col min="12293" max="12293" width="7.1640625" style="680" bestFit="1" customWidth="1"/>
    <col min="12294" max="12294" width="12" style="680" customWidth="1"/>
    <col min="12295" max="12295" width="7.5" style="680" bestFit="1" customWidth="1"/>
    <col min="12296" max="12296" width="15.6640625" style="680" customWidth="1"/>
    <col min="12297" max="12297" width="30" style="680" customWidth="1"/>
    <col min="12298" max="12298" width="16.83203125" style="680" customWidth="1"/>
    <col min="12299" max="12544" width="9" style="680"/>
    <col min="12545" max="12545" width="6" style="680" customWidth="1"/>
    <col min="12546" max="12546" width="39" style="680" customWidth="1"/>
    <col min="12547" max="12547" width="8.83203125" style="680" customWidth="1"/>
    <col min="12548" max="12548" width="8.5" style="680" customWidth="1"/>
    <col min="12549" max="12549" width="7.1640625" style="680" bestFit="1" customWidth="1"/>
    <col min="12550" max="12550" width="12" style="680" customWidth="1"/>
    <col min="12551" max="12551" width="7.5" style="680" bestFit="1" customWidth="1"/>
    <col min="12552" max="12552" width="15.6640625" style="680" customWidth="1"/>
    <col min="12553" max="12553" width="30" style="680" customWidth="1"/>
    <col min="12554" max="12554" width="16.83203125" style="680" customWidth="1"/>
    <col min="12555" max="12800" width="9" style="680"/>
    <col min="12801" max="12801" width="6" style="680" customWidth="1"/>
    <col min="12802" max="12802" width="39" style="680" customWidth="1"/>
    <col min="12803" max="12803" width="8.83203125" style="680" customWidth="1"/>
    <col min="12804" max="12804" width="8.5" style="680" customWidth="1"/>
    <col min="12805" max="12805" width="7.1640625" style="680" bestFit="1" customWidth="1"/>
    <col min="12806" max="12806" width="12" style="680" customWidth="1"/>
    <col min="12807" max="12807" width="7.5" style="680" bestFit="1" customWidth="1"/>
    <col min="12808" max="12808" width="15.6640625" style="680" customWidth="1"/>
    <col min="12809" max="12809" width="30" style="680" customWidth="1"/>
    <col min="12810" max="12810" width="16.83203125" style="680" customWidth="1"/>
    <col min="12811" max="13056" width="9" style="680"/>
    <col min="13057" max="13057" width="6" style="680" customWidth="1"/>
    <col min="13058" max="13058" width="39" style="680" customWidth="1"/>
    <col min="13059" max="13059" width="8.83203125" style="680" customWidth="1"/>
    <col min="13060" max="13060" width="8.5" style="680" customWidth="1"/>
    <col min="13061" max="13061" width="7.1640625" style="680" bestFit="1" customWidth="1"/>
    <col min="13062" max="13062" width="12" style="680" customWidth="1"/>
    <col min="13063" max="13063" width="7.5" style="680" bestFit="1" customWidth="1"/>
    <col min="13064" max="13064" width="15.6640625" style="680" customWidth="1"/>
    <col min="13065" max="13065" width="30" style="680" customWidth="1"/>
    <col min="13066" max="13066" width="16.83203125" style="680" customWidth="1"/>
    <col min="13067" max="13312" width="9" style="680"/>
    <col min="13313" max="13313" width="6" style="680" customWidth="1"/>
    <col min="13314" max="13314" width="39" style="680" customWidth="1"/>
    <col min="13315" max="13315" width="8.83203125" style="680" customWidth="1"/>
    <col min="13316" max="13316" width="8.5" style="680" customWidth="1"/>
    <col min="13317" max="13317" width="7.1640625" style="680" bestFit="1" customWidth="1"/>
    <col min="13318" max="13318" width="12" style="680" customWidth="1"/>
    <col min="13319" max="13319" width="7.5" style="680" bestFit="1" customWidth="1"/>
    <col min="13320" max="13320" width="15.6640625" style="680" customWidth="1"/>
    <col min="13321" max="13321" width="30" style="680" customWidth="1"/>
    <col min="13322" max="13322" width="16.83203125" style="680" customWidth="1"/>
    <col min="13323" max="13568" width="9" style="680"/>
    <col min="13569" max="13569" width="6" style="680" customWidth="1"/>
    <col min="13570" max="13570" width="39" style="680" customWidth="1"/>
    <col min="13571" max="13571" width="8.83203125" style="680" customWidth="1"/>
    <col min="13572" max="13572" width="8.5" style="680" customWidth="1"/>
    <col min="13573" max="13573" width="7.1640625" style="680" bestFit="1" customWidth="1"/>
    <col min="13574" max="13574" width="12" style="680" customWidth="1"/>
    <col min="13575" max="13575" width="7.5" style="680" bestFit="1" customWidth="1"/>
    <col min="13576" max="13576" width="15.6640625" style="680" customWidth="1"/>
    <col min="13577" max="13577" width="30" style="680" customWidth="1"/>
    <col min="13578" max="13578" width="16.83203125" style="680" customWidth="1"/>
    <col min="13579" max="13824" width="9" style="680"/>
    <col min="13825" max="13825" width="6" style="680" customWidth="1"/>
    <col min="13826" max="13826" width="39" style="680" customWidth="1"/>
    <col min="13827" max="13827" width="8.83203125" style="680" customWidth="1"/>
    <col min="13828" max="13828" width="8.5" style="680" customWidth="1"/>
    <col min="13829" max="13829" width="7.1640625" style="680" bestFit="1" customWidth="1"/>
    <col min="13830" max="13830" width="12" style="680" customWidth="1"/>
    <col min="13831" max="13831" width="7.5" style="680" bestFit="1" customWidth="1"/>
    <col min="13832" max="13832" width="15.6640625" style="680" customWidth="1"/>
    <col min="13833" max="13833" width="30" style="680" customWidth="1"/>
    <col min="13834" max="13834" width="16.83203125" style="680" customWidth="1"/>
    <col min="13835" max="14080" width="9" style="680"/>
    <col min="14081" max="14081" width="6" style="680" customWidth="1"/>
    <col min="14082" max="14082" width="39" style="680" customWidth="1"/>
    <col min="14083" max="14083" width="8.83203125" style="680" customWidth="1"/>
    <col min="14084" max="14084" width="8.5" style="680" customWidth="1"/>
    <col min="14085" max="14085" width="7.1640625" style="680" bestFit="1" customWidth="1"/>
    <col min="14086" max="14086" width="12" style="680" customWidth="1"/>
    <col min="14087" max="14087" width="7.5" style="680" bestFit="1" customWidth="1"/>
    <col min="14088" max="14088" width="15.6640625" style="680" customWidth="1"/>
    <col min="14089" max="14089" width="30" style="680" customWidth="1"/>
    <col min="14090" max="14090" width="16.83203125" style="680" customWidth="1"/>
    <col min="14091" max="14336" width="9" style="680"/>
    <col min="14337" max="14337" width="6" style="680" customWidth="1"/>
    <col min="14338" max="14338" width="39" style="680" customWidth="1"/>
    <col min="14339" max="14339" width="8.83203125" style="680" customWidth="1"/>
    <col min="14340" max="14340" width="8.5" style="680" customWidth="1"/>
    <col min="14341" max="14341" width="7.1640625" style="680" bestFit="1" customWidth="1"/>
    <col min="14342" max="14342" width="12" style="680" customWidth="1"/>
    <col min="14343" max="14343" width="7.5" style="680" bestFit="1" customWidth="1"/>
    <col min="14344" max="14344" width="15.6640625" style="680" customWidth="1"/>
    <col min="14345" max="14345" width="30" style="680" customWidth="1"/>
    <col min="14346" max="14346" width="16.83203125" style="680" customWidth="1"/>
    <col min="14347" max="14592" width="9" style="680"/>
    <col min="14593" max="14593" width="6" style="680" customWidth="1"/>
    <col min="14594" max="14594" width="39" style="680" customWidth="1"/>
    <col min="14595" max="14595" width="8.83203125" style="680" customWidth="1"/>
    <col min="14596" max="14596" width="8.5" style="680" customWidth="1"/>
    <col min="14597" max="14597" width="7.1640625" style="680" bestFit="1" customWidth="1"/>
    <col min="14598" max="14598" width="12" style="680" customWidth="1"/>
    <col min="14599" max="14599" width="7.5" style="680" bestFit="1" customWidth="1"/>
    <col min="14600" max="14600" width="15.6640625" style="680" customWidth="1"/>
    <col min="14601" max="14601" width="30" style="680" customWidth="1"/>
    <col min="14602" max="14602" width="16.83203125" style="680" customWidth="1"/>
    <col min="14603" max="14848" width="9" style="680"/>
    <col min="14849" max="14849" width="6" style="680" customWidth="1"/>
    <col min="14850" max="14850" width="39" style="680" customWidth="1"/>
    <col min="14851" max="14851" width="8.83203125" style="680" customWidth="1"/>
    <col min="14852" max="14852" width="8.5" style="680" customWidth="1"/>
    <col min="14853" max="14853" width="7.1640625" style="680" bestFit="1" customWidth="1"/>
    <col min="14854" max="14854" width="12" style="680" customWidth="1"/>
    <col min="14855" max="14855" width="7.5" style="680" bestFit="1" customWidth="1"/>
    <col min="14856" max="14856" width="15.6640625" style="680" customWidth="1"/>
    <col min="14857" max="14857" width="30" style="680" customWidth="1"/>
    <col min="14858" max="14858" width="16.83203125" style="680" customWidth="1"/>
    <col min="14859" max="15104" width="9" style="680"/>
    <col min="15105" max="15105" width="6" style="680" customWidth="1"/>
    <col min="15106" max="15106" width="39" style="680" customWidth="1"/>
    <col min="15107" max="15107" width="8.83203125" style="680" customWidth="1"/>
    <col min="15108" max="15108" width="8.5" style="680" customWidth="1"/>
    <col min="15109" max="15109" width="7.1640625" style="680" bestFit="1" customWidth="1"/>
    <col min="15110" max="15110" width="12" style="680" customWidth="1"/>
    <col min="15111" max="15111" width="7.5" style="680" bestFit="1" customWidth="1"/>
    <col min="15112" max="15112" width="15.6640625" style="680" customWidth="1"/>
    <col min="15113" max="15113" width="30" style="680" customWidth="1"/>
    <col min="15114" max="15114" width="16.83203125" style="680" customWidth="1"/>
    <col min="15115" max="15360" width="9" style="680"/>
    <col min="15361" max="15361" width="6" style="680" customWidth="1"/>
    <col min="15362" max="15362" width="39" style="680" customWidth="1"/>
    <col min="15363" max="15363" width="8.83203125" style="680" customWidth="1"/>
    <col min="15364" max="15364" width="8.5" style="680" customWidth="1"/>
    <col min="15365" max="15365" width="7.1640625" style="680" bestFit="1" customWidth="1"/>
    <col min="15366" max="15366" width="12" style="680" customWidth="1"/>
    <col min="15367" max="15367" width="7.5" style="680" bestFit="1" customWidth="1"/>
    <col min="15368" max="15368" width="15.6640625" style="680" customWidth="1"/>
    <col min="15369" max="15369" width="30" style="680" customWidth="1"/>
    <col min="15370" max="15370" width="16.83203125" style="680" customWidth="1"/>
    <col min="15371" max="15616" width="9" style="680"/>
    <col min="15617" max="15617" width="6" style="680" customWidth="1"/>
    <col min="15618" max="15618" width="39" style="680" customWidth="1"/>
    <col min="15619" max="15619" width="8.83203125" style="680" customWidth="1"/>
    <col min="15620" max="15620" width="8.5" style="680" customWidth="1"/>
    <col min="15621" max="15621" width="7.1640625" style="680" bestFit="1" customWidth="1"/>
    <col min="15622" max="15622" width="12" style="680" customWidth="1"/>
    <col min="15623" max="15623" width="7.5" style="680" bestFit="1" customWidth="1"/>
    <col min="15624" max="15624" width="15.6640625" style="680" customWidth="1"/>
    <col min="15625" max="15625" width="30" style="680" customWidth="1"/>
    <col min="15626" max="15626" width="16.83203125" style="680" customWidth="1"/>
    <col min="15627" max="15872" width="9" style="680"/>
    <col min="15873" max="15873" width="6" style="680" customWidth="1"/>
    <col min="15874" max="15874" width="39" style="680" customWidth="1"/>
    <col min="15875" max="15875" width="8.83203125" style="680" customWidth="1"/>
    <col min="15876" max="15876" width="8.5" style="680" customWidth="1"/>
    <col min="15877" max="15877" width="7.1640625" style="680" bestFit="1" customWidth="1"/>
    <col min="15878" max="15878" width="12" style="680" customWidth="1"/>
    <col min="15879" max="15879" width="7.5" style="680" bestFit="1" customWidth="1"/>
    <col min="15880" max="15880" width="15.6640625" style="680" customWidth="1"/>
    <col min="15881" max="15881" width="30" style="680" customWidth="1"/>
    <col min="15882" max="15882" width="16.83203125" style="680" customWidth="1"/>
    <col min="15883" max="16128" width="9" style="680"/>
    <col min="16129" max="16129" width="6" style="680" customWidth="1"/>
    <col min="16130" max="16130" width="39" style="680" customWidth="1"/>
    <col min="16131" max="16131" width="8.83203125" style="680" customWidth="1"/>
    <col min="16132" max="16132" width="8.5" style="680" customWidth="1"/>
    <col min="16133" max="16133" width="7.1640625" style="680" bestFit="1" customWidth="1"/>
    <col min="16134" max="16134" width="12" style="680" customWidth="1"/>
    <col min="16135" max="16135" width="7.5" style="680" bestFit="1" customWidth="1"/>
    <col min="16136" max="16136" width="15.6640625" style="680" customWidth="1"/>
    <col min="16137" max="16137" width="30" style="680" customWidth="1"/>
    <col min="16138" max="16138" width="16.83203125" style="680" customWidth="1"/>
    <col min="16139" max="16384" width="9" style="680"/>
  </cols>
  <sheetData>
    <row r="1" spans="1:10" s="677" customFormat="1">
      <c r="A1" s="1987" t="s">
        <v>3</v>
      </c>
      <c r="B1" s="1987"/>
      <c r="C1" s="672"/>
      <c r="D1" s="672"/>
      <c r="E1" s="673"/>
      <c r="F1" s="673"/>
      <c r="G1" s="674"/>
      <c r="H1" s="673"/>
      <c r="I1" s="675"/>
      <c r="J1" s="676"/>
    </row>
    <row r="2" spans="1:10" s="677" customFormat="1">
      <c r="A2" s="2029" t="s">
        <v>1009</v>
      </c>
      <c r="B2" s="2029"/>
      <c r="C2" s="672"/>
      <c r="D2" s="672"/>
      <c r="E2" s="673"/>
      <c r="F2" s="673"/>
      <c r="G2" s="674"/>
      <c r="H2" s="673"/>
      <c r="I2" s="675"/>
      <c r="J2" s="1828" t="s">
        <v>1662</v>
      </c>
    </row>
    <row r="3" spans="1:10" s="677" customFormat="1" hidden="1">
      <c r="A3" s="2029"/>
      <c r="B3" s="2029"/>
      <c r="C3" s="672"/>
      <c r="D3" s="672"/>
      <c r="E3" s="673"/>
      <c r="F3" s="673"/>
      <c r="G3" s="674"/>
      <c r="H3" s="673"/>
      <c r="I3" s="675"/>
      <c r="J3" s="676"/>
    </row>
    <row r="4" spans="1:10" s="678" customFormat="1" ht="20">
      <c r="A4" s="2030" t="s">
        <v>1010</v>
      </c>
      <c r="B4" s="2030"/>
      <c r="C4" s="2030"/>
      <c r="D4" s="2030"/>
      <c r="E4" s="2030"/>
      <c r="F4" s="2030"/>
      <c r="G4" s="2030"/>
      <c r="H4" s="2030"/>
      <c r="I4" s="2030"/>
      <c r="J4" s="2030"/>
    </row>
    <row r="5" spans="1:10" s="679" customFormat="1" ht="17" thickBot="1">
      <c r="A5" s="2028" t="s">
        <v>1011</v>
      </c>
      <c r="B5" s="2028"/>
      <c r="C5" s="2028"/>
      <c r="D5" s="2028"/>
      <c r="E5" s="2028"/>
      <c r="F5" s="2028"/>
      <c r="G5" s="2028"/>
      <c r="H5" s="2028"/>
      <c r="I5" s="2028"/>
      <c r="J5" s="2028"/>
    </row>
    <row r="6" spans="1:10" s="679" customFormat="1" hidden="1">
      <c r="A6" s="2028"/>
      <c r="B6" s="2028"/>
      <c r="C6" s="2028"/>
      <c r="D6" s="2028"/>
      <c r="E6" s="2028"/>
      <c r="F6" s="2028"/>
      <c r="G6" s="2028"/>
      <c r="H6" s="2028"/>
      <c r="I6" s="2028"/>
      <c r="J6" s="2028"/>
    </row>
    <row r="7" spans="1:10" ht="52" thickTop="1">
      <c r="A7" s="1486" t="s">
        <v>0</v>
      </c>
      <c r="B7" s="1487" t="s">
        <v>1012</v>
      </c>
      <c r="C7" s="1488" t="s">
        <v>1013</v>
      </c>
      <c r="D7" s="1488" t="s">
        <v>1014</v>
      </c>
      <c r="E7" s="1489" t="s">
        <v>1015</v>
      </c>
      <c r="F7" s="1489" t="s">
        <v>1016</v>
      </c>
      <c r="G7" s="1490" t="s">
        <v>1017</v>
      </c>
      <c r="H7" s="1489" t="s">
        <v>28</v>
      </c>
      <c r="I7" s="1488" t="s">
        <v>1018</v>
      </c>
      <c r="J7" s="1491" t="s">
        <v>1019</v>
      </c>
    </row>
    <row r="8" spans="1:10" s="681" customFormat="1" ht="51">
      <c r="A8" s="1492" t="s">
        <v>5</v>
      </c>
      <c r="B8" s="1493" t="s">
        <v>18</v>
      </c>
      <c r="C8" s="855" t="s">
        <v>417</v>
      </c>
      <c r="D8" s="1494" t="s">
        <v>113</v>
      </c>
      <c r="E8" s="1494" t="s">
        <v>114</v>
      </c>
      <c r="F8" s="1494" t="s">
        <v>115</v>
      </c>
      <c r="G8" s="1494" t="s">
        <v>116</v>
      </c>
      <c r="H8" s="1495" t="s">
        <v>1020</v>
      </c>
      <c r="I8" s="855" t="s">
        <v>426</v>
      </c>
      <c r="J8" s="1496" t="s">
        <v>1021</v>
      </c>
    </row>
    <row r="9" spans="1:10">
      <c r="A9" s="1497" t="s">
        <v>5</v>
      </c>
      <c r="B9" s="1498" t="s">
        <v>1022</v>
      </c>
      <c r="C9" s="1499"/>
      <c r="D9" s="1499"/>
      <c r="E9" s="1500"/>
      <c r="F9" s="1500"/>
      <c r="G9" s="1501"/>
      <c r="H9" s="1500">
        <f>+SUM(H10:H10)</f>
        <v>192150000</v>
      </c>
      <c r="I9" s="1502"/>
      <c r="J9" s="1503"/>
    </row>
    <row r="10" spans="1:10" ht="51">
      <c r="A10" s="1492">
        <v>1</v>
      </c>
      <c r="B10" s="1504" t="s">
        <v>1023</v>
      </c>
      <c r="C10" s="1493" t="s">
        <v>1024</v>
      </c>
      <c r="D10" s="1493">
        <v>2</v>
      </c>
      <c r="E10" s="1505">
        <v>305</v>
      </c>
      <c r="F10" s="1505">
        <v>225000</v>
      </c>
      <c r="G10" s="1506">
        <v>1.4</v>
      </c>
      <c r="H10" s="1505">
        <f>+D10*E10*F10*G10</f>
        <v>192150000</v>
      </c>
      <c r="I10" s="1504" t="s">
        <v>1025</v>
      </c>
      <c r="J10" s="1507" t="s">
        <v>1026</v>
      </c>
    </row>
    <row r="11" spans="1:10" ht="51">
      <c r="A11" s="1497" t="s">
        <v>18</v>
      </c>
      <c r="B11" s="1502" t="s">
        <v>1027</v>
      </c>
      <c r="C11" s="1499"/>
      <c r="D11" s="1499"/>
      <c r="E11" s="1500"/>
      <c r="F11" s="1500"/>
      <c r="G11" s="1501"/>
      <c r="H11" s="1508">
        <v>118300000</v>
      </c>
      <c r="I11" s="1502"/>
      <c r="J11" s="2025" t="s">
        <v>1028</v>
      </c>
    </row>
    <row r="12" spans="1:10" ht="34">
      <c r="A12" s="1497" t="s">
        <v>6</v>
      </c>
      <c r="B12" s="1502" t="s">
        <v>1029</v>
      </c>
      <c r="C12" s="1499"/>
      <c r="D12" s="1499"/>
      <c r="E12" s="1500"/>
      <c r="F12" s="1500"/>
      <c r="G12" s="1501"/>
      <c r="H12" s="1500">
        <v>42962000</v>
      </c>
      <c r="I12" s="1502"/>
      <c r="J12" s="2025"/>
    </row>
    <row r="13" spans="1:10" ht="17">
      <c r="A13" s="1497">
        <v>1</v>
      </c>
      <c r="B13" s="1502" t="s">
        <v>1030</v>
      </c>
      <c r="C13" s="1499"/>
      <c r="D13" s="1499"/>
      <c r="E13" s="1500"/>
      <c r="F13" s="1500"/>
      <c r="G13" s="1501"/>
      <c r="H13" s="1509">
        <v>40462000</v>
      </c>
      <c r="I13" s="1502"/>
      <c r="J13" s="1510"/>
    </row>
    <row r="14" spans="1:10" ht="17">
      <c r="A14" s="1511" t="s">
        <v>122</v>
      </c>
      <c r="B14" s="1512" t="s">
        <v>1031</v>
      </c>
      <c r="C14" s="1513"/>
      <c r="D14" s="1513"/>
      <c r="E14" s="1514"/>
      <c r="F14" s="1514"/>
      <c r="G14" s="1515"/>
      <c r="H14" s="1514">
        <v>30000000</v>
      </c>
      <c r="I14" s="1512"/>
      <c r="J14" s="1516"/>
    </row>
    <row r="15" spans="1:10" ht="17">
      <c r="A15" s="1492"/>
      <c r="B15" s="1504" t="s">
        <v>1032</v>
      </c>
      <c r="C15" s="1493" t="s">
        <v>963</v>
      </c>
      <c r="D15" s="1493">
        <v>1</v>
      </c>
      <c r="E15" s="1493">
        <v>4</v>
      </c>
      <c r="F15" s="1505">
        <v>70000</v>
      </c>
      <c r="G15" s="1506"/>
      <c r="H15" s="1535">
        <v>4200000</v>
      </c>
      <c r="I15" s="2026" t="s">
        <v>1033</v>
      </c>
      <c r="J15" s="2025" t="s">
        <v>1034</v>
      </c>
    </row>
    <row r="16" spans="1:10" ht="17">
      <c r="A16" s="1492"/>
      <c r="B16" s="1504" t="s">
        <v>1035</v>
      </c>
      <c r="C16" s="1493" t="s">
        <v>963</v>
      </c>
      <c r="D16" s="1493">
        <v>1</v>
      </c>
      <c r="E16" s="1493">
        <v>4</v>
      </c>
      <c r="F16" s="1505">
        <v>70000</v>
      </c>
      <c r="G16" s="1506"/>
      <c r="H16" s="1535">
        <v>4200000</v>
      </c>
      <c r="I16" s="2026"/>
      <c r="J16" s="2025"/>
    </row>
    <row r="17" spans="1:10" ht="34">
      <c r="A17" s="1492"/>
      <c r="B17" s="1504" t="s">
        <v>1036</v>
      </c>
      <c r="C17" s="1493" t="s">
        <v>963</v>
      </c>
      <c r="D17" s="1493">
        <v>1</v>
      </c>
      <c r="E17" s="1493">
        <v>4</v>
      </c>
      <c r="F17" s="1505">
        <v>80000</v>
      </c>
      <c r="G17" s="1506"/>
      <c r="H17" s="1535">
        <v>4800000</v>
      </c>
      <c r="I17" s="2026"/>
      <c r="J17" s="2025"/>
    </row>
    <row r="18" spans="1:10" ht="17">
      <c r="A18" s="1492"/>
      <c r="B18" s="1504" t="s">
        <v>1037</v>
      </c>
      <c r="C18" s="1493" t="s">
        <v>963</v>
      </c>
      <c r="D18" s="1493">
        <v>2</v>
      </c>
      <c r="E18" s="1493">
        <v>8</v>
      </c>
      <c r="F18" s="1505">
        <v>70000</v>
      </c>
      <c r="G18" s="1506"/>
      <c r="H18" s="1535">
        <v>8400000</v>
      </c>
      <c r="I18" s="2026"/>
      <c r="J18" s="2025"/>
    </row>
    <row r="19" spans="1:10" ht="17">
      <c r="A19" s="1492"/>
      <c r="B19" s="1504" t="s">
        <v>726</v>
      </c>
      <c r="C19" s="1493" t="s">
        <v>963</v>
      </c>
      <c r="D19" s="1493">
        <v>2</v>
      </c>
      <c r="E19" s="1493">
        <v>8</v>
      </c>
      <c r="F19" s="1505">
        <v>70000</v>
      </c>
      <c r="G19" s="1506"/>
      <c r="H19" s="1535">
        <v>8400000</v>
      </c>
      <c r="I19" s="2026"/>
      <c r="J19" s="2025"/>
    </row>
    <row r="20" spans="1:10" ht="17">
      <c r="A20" s="1511" t="s">
        <v>562</v>
      </c>
      <c r="B20" s="1512" t="s">
        <v>1038</v>
      </c>
      <c r="C20" s="1517"/>
      <c r="D20" s="1517"/>
      <c r="E20" s="1517"/>
      <c r="F20" s="1517"/>
      <c r="G20" s="1517"/>
      <c r="H20" s="1536">
        <v>9262000</v>
      </c>
      <c r="I20" s="1517"/>
      <c r="J20" s="1518"/>
    </row>
    <row r="21" spans="1:10" ht="17">
      <c r="A21" s="1492" t="s">
        <v>145</v>
      </c>
      <c r="B21" s="1517" t="s">
        <v>1039</v>
      </c>
      <c r="C21" s="1493" t="s">
        <v>1040</v>
      </c>
      <c r="D21" s="1493"/>
      <c r="E21" s="1505">
        <v>285</v>
      </c>
      <c r="F21" s="1505">
        <v>6500</v>
      </c>
      <c r="G21" s="1506"/>
      <c r="H21" s="1505">
        <f>+F21*E21</f>
        <v>1852500</v>
      </c>
      <c r="I21" s="1504" t="s">
        <v>1041</v>
      </c>
      <c r="J21" s="1519"/>
    </row>
    <row r="22" spans="1:10" ht="17">
      <c r="A22" s="1492" t="s">
        <v>146</v>
      </c>
      <c r="B22" s="1517" t="s">
        <v>1042</v>
      </c>
      <c r="C22" s="1493" t="s">
        <v>1040</v>
      </c>
      <c r="D22" s="1493"/>
      <c r="E22" s="1505">
        <v>285</v>
      </c>
      <c r="F22" s="1505">
        <v>6500</v>
      </c>
      <c r="G22" s="1506"/>
      <c r="H22" s="1505">
        <f>+F22*E22</f>
        <v>1852500</v>
      </c>
      <c r="I22" s="1504" t="s">
        <v>1041</v>
      </c>
      <c r="J22" s="1519"/>
    </row>
    <row r="23" spans="1:10" ht="17">
      <c r="A23" s="1492" t="s">
        <v>167</v>
      </c>
      <c r="B23" s="1517" t="s">
        <v>1043</v>
      </c>
      <c r="C23" s="1493" t="s">
        <v>1040</v>
      </c>
      <c r="D23" s="1493"/>
      <c r="E23" s="1505">
        <v>285</v>
      </c>
      <c r="F23" s="1505">
        <v>6500</v>
      </c>
      <c r="G23" s="1506"/>
      <c r="H23" s="1539">
        <f>+F23*E23</f>
        <v>1852500</v>
      </c>
      <c r="I23" s="1504" t="s">
        <v>1041</v>
      </c>
      <c r="J23" s="1519"/>
    </row>
    <row r="24" spans="1:10" ht="17">
      <c r="A24" s="1492" t="s">
        <v>1044</v>
      </c>
      <c r="B24" s="1517" t="s">
        <v>1045</v>
      </c>
      <c r="C24" s="1493" t="s">
        <v>1040</v>
      </c>
      <c r="D24" s="1493"/>
      <c r="E24" s="1505">
        <v>285</v>
      </c>
      <c r="F24" s="1505">
        <v>6500</v>
      </c>
      <c r="G24" s="1506"/>
      <c r="H24" s="1505">
        <f>+F24*E24</f>
        <v>1852500</v>
      </c>
      <c r="I24" s="1504" t="s">
        <v>1041</v>
      </c>
      <c r="J24" s="1519"/>
    </row>
    <row r="25" spans="1:10" ht="17">
      <c r="A25" s="1492" t="s">
        <v>1046</v>
      </c>
      <c r="B25" s="1517" t="s">
        <v>1047</v>
      </c>
      <c r="C25" s="1493" t="s">
        <v>1040</v>
      </c>
      <c r="D25" s="1493"/>
      <c r="E25" s="1505">
        <v>285</v>
      </c>
      <c r="F25" s="1505">
        <v>6500</v>
      </c>
      <c r="G25" s="1506"/>
      <c r="H25" s="1505">
        <f>+F25*E25</f>
        <v>1852500</v>
      </c>
      <c r="I25" s="1504" t="s">
        <v>1041</v>
      </c>
      <c r="J25" s="1520"/>
    </row>
    <row r="26" spans="1:10" ht="17">
      <c r="A26" s="1511">
        <v>1.3</v>
      </c>
      <c r="B26" s="1521" t="s">
        <v>1048</v>
      </c>
      <c r="C26" s="1493" t="s">
        <v>975</v>
      </c>
      <c r="D26" s="1493"/>
      <c r="E26" s="1505">
        <v>7</v>
      </c>
      <c r="F26" s="1505">
        <v>100000</v>
      </c>
      <c r="G26" s="1506"/>
      <c r="H26" s="1514">
        <v>700000</v>
      </c>
      <c r="I26" s="1504" t="s">
        <v>1041</v>
      </c>
      <c r="J26" s="1520"/>
    </row>
    <row r="27" spans="1:10" ht="17">
      <c r="A27" s="1522">
        <v>1.4</v>
      </c>
      <c r="B27" s="1523" t="s">
        <v>767</v>
      </c>
      <c r="C27" s="1493" t="s">
        <v>1049</v>
      </c>
      <c r="D27" s="1493"/>
      <c r="E27" s="1505">
        <v>1</v>
      </c>
      <c r="F27" s="1505">
        <v>500000</v>
      </c>
      <c r="G27" s="1506"/>
      <c r="H27" s="1537">
        <v>500000</v>
      </c>
      <c r="I27" s="1504" t="s">
        <v>1041</v>
      </c>
      <c r="J27" s="1520"/>
    </row>
    <row r="28" spans="1:10" ht="17">
      <c r="A28" s="1497">
        <v>2</v>
      </c>
      <c r="B28" s="1502" t="s">
        <v>1050</v>
      </c>
      <c r="C28" s="1493" t="s">
        <v>997</v>
      </c>
      <c r="D28" s="1493"/>
      <c r="E28" s="1505">
        <v>2</v>
      </c>
      <c r="F28" s="1505">
        <v>500000</v>
      </c>
      <c r="G28" s="1506"/>
      <c r="H28" s="1536">
        <v>1000000</v>
      </c>
      <c r="I28" s="1504" t="s">
        <v>1041</v>
      </c>
      <c r="J28" s="2025" t="s">
        <v>1028</v>
      </c>
    </row>
    <row r="29" spans="1:10" ht="17">
      <c r="A29" s="1497">
        <v>3</v>
      </c>
      <c r="B29" s="1502" t="s">
        <v>1051</v>
      </c>
      <c r="C29" s="1493" t="s">
        <v>985</v>
      </c>
      <c r="D29" s="1493"/>
      <c r="E29" s="1505">
        <v>3</v>
      </c>
      <c r="F29" s="1505">
        <v>500000</v>
      </c>
      <c r="G29" s="1506"/>
      <c r="H29" s="1514">
        <f>+F29*E29</f>
        <v>1500000</v>
      </c>
      <c r="I29" s="1504" t="s">
        <v>1041</v>
      </c>
      <c r="J29" s="2025"/>
    </row>
    <row r="30" spans="1:10" ht="17">
      <c r="A30" s="1497" t="s">
        <v>7</v>
      </c>
      <c r="B30" s="1502" t="s">
        <v>1052</v>
      </c>
      <c r="C30" s="1499"/>
      <c r="D30" s="1499"/>
      <c r="E30" s="1500"/>
      <c r="F30" s="1500"/>
      <c r="G30" s="1501"/>
      <c r="H30" s="1538">
        <v>72840000</v>
      </c>
      <c r="I30" s="1502"/>
      <c r="J30" s="1525"/>
    </row>
    <row r="31" spans="1:10">
      <c r="A31" s="1492">
        <v>1</v>
      </c>
      <c r="B31" s="1526" t="s">
        <v>1053</v>
      </c>
      <c r="C31" s="1493" t="s">
        <v>1024</v>
      </c>
      <c r="D31" s="1493">
        <v>2</v>
      </c>
      <c r="E31" s="1527">
        <v>44</v>
      </c>
      <c r="F31" s="1505"/>
      <c r="G31" s="1506"/>
      <c r="H31" s="1540">
        <v>10320000</v>
      </c>
      <c r="I31" s="1517"/>
      <c r="J31" s="1507"/>
    </row>
    <row r="32" spans="1:10">
      <c r="A32" s="1492">
        <v>2</v>
      </c>
      <c r="B32" s="1528" t="s">
        <v>1054</v>
      </c>
      <c r="C32" s="1493" t="s">
        <v>1024</v>
      </c>
      <c r="D32" s="1493">
        <v>2</v>
      </c>
      <c r="E32" s="1527">
        <v>44</v>
      </c>
      <c r="F32" s="1505"/>
      <c r="G32" s="1506"/>
      <c r="H32" s="1540">
        <v>10320000</v>
      </c>
      <c r="I32" s="1517" t="s">
        <v>1055</v>
      </c>
      <c r="J32" s="1507"/>
    </row>
    <row r="33" spans="1:10" ht="17">
      <c r="A33" s="1492">
        <v>3</v>
      </c>
      <c r="B33" s="1526" t="s">
        <v>1056</v>
      </c>
      <c r="C33" s="1493" t="s">
        <v>1024</v>
      </c>
      <c r="D33" s="1493">
        <v>2</v>
      </c>
      <c r="E33" s="1527">
        <v>37</v>
      </c>
      <c r="F33" s="1505"/>
      <c r="G33" s="1506"/>
      <c r="H33" s="1540">
        <v>9480000</v>
      </c>
      <c r="I33" s="1529" t="s">
        <v>1057</v>
      </c>
      <c r="J33" s="1507"/>
    </row>
    <row r="34" spans="1:10">
      <c r="A34" s="1492">
        <v>4</v>
      </c>
      <c r="B34" s="1526" t="s">
        <v>1058</v>
      </c>
      <c r="C34" s="1493" t="s">
        <v>1024</v>
      </c>
      <c r="D34" s="1493">
        <v>1</v>
      </c>
      <c r="E34" s="1527">
        <v>45</v>
      </c>
      <c r="F34" s="1505"/>
      <c r="G34" s="1506"/>
      <c r="H34" s="1540">
        <v>10680000</v>
      </c>
      <c r="I34" s="1504"/>
      <c r="J34" s="2025" t="s">
        <v>1028</v>
      </c>
    </row>
    <row r="35" spans="1:10">
      <c r="A35" s="1492">
        <v>5</v>
      </c>
      <c r="B35" s="1526" t="s">
        <v>1059</v>
      </c>
      <c r="C35" s="1493" t="s">
        <v>1024</v>
      </c>
      <c r="D35" s="1493">
        <v>1</v>
      </c>
      <c r="E35" s="1527">
        <v>45</v>
      </c>
      <c r="F35" s="1505"/>
      <c r="G35" s="1506"/>
      <c r="H35" s="1540">
        <v>10680000</v>
      </c>
      <c r="I35" s="1504"/>
      <c r="J35" s="2025"/>
    </row>
    <row r="36" spans="1:10">
      <c r="A36" s="1492">
        <v>6</v>
      </c>
      <c r="B36" s="1526" t="s">
        <v>1060</v>
      </c>
      <c r="C36" s="1493" t="s">
        <v>1024</v>
      </c>
      <c r="D36" s="1493">
        <v>1</v>
      </c>
      <c r="E36" s="1527">
        <v>45</v>
      </c>
      <c r="F36" s="1505"/>
      <c r="G36" s="1506"/>
      <c r="H36" s="1540">
        <v>10680000</v>
      </c>
      <c r="I36" s="1504"/>
      <c r="J36" s="1518"/>
    </row>
    <row r="37" spans="1:10">
      <c r="A37" s="1492">
        <v>7</v>
      </c>
      <c r="B37" s="1528" t="s">
        <v>1061</v>
      </c>
      <c r="C37" s="1493" t="s">
        <v>1024</v>
      </c>
      <c r="D37" s="1493">
        <v>1</v>
      </c>
      <c r="E37" s="1527">
        <v>45</v>
      </c>
      <c r="F37" s="1505"/>
      <c r="G37" s="1506"/>
      <c r="H37" s="1540">
        <v>10680000</v>
      </c>
      <c r="I37" s="1504"/>
      <c r="J37" s="1518"/>
    </row>
    <row r="38" spans="1:10" ht="17" thickBot="1">
      <c r="A38" s="1530"/>
      <c r="B38" s="1430" t="s">
        <v>1062</v>
      </c>
      <c r="C38" s="1531"/>
      <c r="D38" s="1531"/>
      <c r="E38" s="1532"/>
      <c r="F38" s="1532"/>
      <c r="G38" s="1533"/>
      <c r="H38" s="1532">
        <v>73850000</v>
      </c>
      <c r="I38" s="1430"/>
      <c r="J38" s="1534"/>
    </row>
    <row r="39" spans="1:10" s="688" customFormat="1" ht="18" thickTop="1">
      <c r="A39" s="33" t="s">
        <v>1063</v>
      </c>
      <c r="B39" s="608"/>
      <c r="C39" s="33"/>
      <c r="D39" s="33"/>
      <c r="E39" s="684"/>
      <c r="F39" s="685"/>
      <c r="G39" s="686"/>
      <c r="H39" s="685"/>
      <c r="I39" s="687"/>
      <c r="J39" s="687"/>
    </row>
    <row r="40" spans="1:10" s="35" customFormat="1">
      <c r="A40" s="609"/>
      <c r="B40" s="608"/>
      <c r="C40" s="684"/>
      <c r="D40" s="684"/>
      <c r="E40" s="684"/>
      <c r="F40" s="685"/>
      <c r="G40" s="686"/>
      <c r="H40" s="685"/>
      <c r="I40" s="2027" t="s">
        <v>1064</v>
      </c>
      <c r="J40" s="2027"/>
    </row>
    <row r="41" spans="1:10" s="33" customFormat="1">
      <c r="A41" s="1976" t="s">
        <v>1065</v>
      </c>
      <c r="B41" s="1976"/>
      <c r="C41" s="1976" t="s">
        <v>1066</v>
      </c>
      <c r="D41" s="1976"/>
      <c r="E41" s="1976"/>
      <c r="F41" s="1976"/>
      <c r="G41" s="1976"/>
      <c r="H41" s="1976"/>
      <c r="I41" s="1976"/>
      <c r="J41" s="1976"/>
    </row>
    <row r="42" spans="1:10" s="33" customFormat="1">
      <c r="B42" s="609"/>
      <c r="G42" s="686"/>
    </row>
    <row r="43" spans="1:10" s="35" customFormat="1">
      <c r="A43" s="33"/>
      <c r="B43" s="609"/>
      <c r="C43" s="33"/>
      <c r="D43" s="33"/>
      <c r="E43" s="33"/>
      <c r="F43" s="33"/>
      <c r="G43" s="686"/>
      <c r="H43" s="33"/>
      <c r="I43" s="33"/>
      <c r="J43" s="33"/>
    </row>
    <row r="44" spans="1:10" s="35" customFormat="1">
      <c r="A44" s="33"/>
      <c r="B44" s="609"/>
      <c r="C44" s="33"/>
      <c r="D44" s="33"/>
      <c r="E44" s="33"/>
      <c r="F44" s="33"/>
      <c r="G44" s="686"/>
      <c r="H44" s="33"/>
      <c r="I44" s="33"/>
      <c r="J44" s="33"/>
    </row>
    <row r="45" spans="1:10" s="689" customFormat="1">
      <c r="A45" s="33"/>
      <c r="B45" s="609"/>
      <c r="C45" s="33"/>
      <c r="D45" s="33"/>
      <c r="E45" s="33"/>
      <c r="F45" s="33"/>
      <c r="G45" s="686"/>
      <c r="H45" s="33"/>
      <c r="I45" s="33"/>
      <c r="J45" s="33"/>
    </row>
    <row r="46" spans="1:10">
      <c r="B46" s="609"/>
    </row>
  </sheetData>
  <mergeCells count="14">
    <mergeCell ref="A6:J6"/>
    <mergeCell ref="A1:B1"/>
    <mergeCell ref="A2:B2"/>
    <mergeCell ref="A3:B3"/>
    <mergeCell ref="A4:J4"/>
    <mergeCell ref="A5:J5"/>
    <mergeCell ref="A41:B41"/>
    <mergeCell ref="C41:J41"/>
    <mergeCell ref="J11:J12"/>
    <mergeCell ref="I15:I19"/>
    <mergeCell ref="J15:J19"/>
    <mergeCell ref="J28:J29"/>
    <mergeCell ref="J34:J35"/>
    <mergeCell ref="I40:J40"/>
  </mergeCells>
  <pageMargins left="0.65" right="0.59" top="0.75" bottom="0.75" header="0.3" footer="0.3"/>
  <pageSetup paperSize="9" scale="8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36"/>
  <sheetViews>
    <sheetView view="pageBreakPreview" zoomScale="115" zoomScaleNormal="100" zoomScaleSheetLayoutView="115" workbookViewId="0">
      <selection activeCell="L5" sqref="L5"/>
    </sheetView>
  </sheetViews>
  <sheetFormatPr baseColWidth="10" defaultColWidth="10.83203125" defaultRowHeight="13"/>
  <cols>
    <col min="1" max="1" width="20.33203125" customWidth="1"/>
    <col min="2" max="2" width="11" customWidth="1"/>
    <col min="3" max="3" width="7" customWidth="1"/>
    <col min="4" max="4" width="5.5" customWidth="1"/>
    <col min="5" max="5" width="10.1640625" customWidth="1"/>
    <col min="6" max="6" width="10.33203125" customWidth="1"/>
    <col min="7" max="7" width="11.6640625" customWidth="1"/>
    <col min="8" max="8" width="10.5" customWidth="1"/>
    <col min="9" max="9" width="11.33203125" customWidth="1"/>
    <col min="10" max="10" width="10.6640625" customWidth="1"/>
    <col min="11" max="11" width="12" customWidth="1"/>
    <col min="12" max="12" width="11.33203125" customWidth="1"/>
    <col min="13" max="13" width="9.83203125" bestFit="1" customWidth="1"/>
    <col min="14" max="256" width="8.83203125" customWidth="1"/>
    <col min="257" max="257" width="20.33203125" customWidth="1"/>
    <col min="258" max="258" width="11" customWidth="1"/>
    <col min="259" max="259" width="7" customWidth="1"/>
    <col min="260" max="260" width="5.5" customWidth="1"/>
    <col min="261" max="261" width="10.1640625" customWidth="1"/>
    <col min="262" max="262" width="10.33203125" customWidth="1"/>
    <col min="263" max="263" width="11.6640625" customWidth="1"/>
    <col min="264" max="264" width="10.5" customWidth="1"/>
    <col min="265" max="265" width="11.33203125" customWidth="1"/>
    <col min="266" max="266" width="10.6640625" customWidth="1"/>
    <col min="267" max="267" width="12" customWidth="1"/>
    <col min="268" max="268" width="11.33203125" customWidth="1"/>
    <col min="269" max="269" width="9.83203125" bestFit="1" customWidth="1"/>
    <col min="270" max="512" width="8.83203125" customWidth="1"/>
    <col min="513" max="513" width="20.33203125" customWidth="1"/>
    <col min="514" max="514" width="11" customWidth="1"/>
    <col min="515" max="515" width="7" customWidth="1"/>
    <col min="516" max="516" width="5.5" customWidth="1"/>
    <col min="517" max="517" width="10.1640625" customWidth="1"/>
    <col min="518" max="518" width="10.33203125" customWidth="1"/>
    <col min="519" max="519" width="11.6640625" customWidth="1"/>
    <col min="520" max="520" width="10.5" customWidth="1"/>
    <col min="521" max="521" width="11.33203125" customWidth="1"/>
    <col min="522" max="522" width="10.6640625" customWidth="1"/>
    <col min="523" max="523" width="12" customWidth="1"/>
    <col min="524" max="524" width="11.33203125" customWidth="1"/>
    <col min="525" max="525" width="9.83203125" bestFit="1" customWidth="1"/>
    <col min="526" max="768" width="8.83203125" customWidth="1"/>
    <col min="769" max="769" width="20.33203125" customWidth="1"/>
    <col min="770" max="770" width="11" customWidth="1"/>
    <col min="771" max="771" width="7" customWidth="1"/>
    <col min="772" max="772" width="5.5" customWidth="1"/>
    <col min="773" max="773" width="10.1640625" customWidth="1"/>
    <col min="774" max="774" width="10.33203125" customWidth="1"/>
    <col min="775" max="775" width="11.6640625" customWidth="1"/>
    <col min="776" max="776" width="10.5" customWidth="1"/>
    <col min="777" max="777" width="11.33203125" customWidth="1"/>
    <col min="778" max="778" width="10.6640625" customWidth="1"/>
    <col min="779" max="779" width="12" customWidth="1"/>
    <col min="780" max="780" width="11.33203125" customWidth="1"/>
    <col min="781" max="781" width="9.83203125" bestFit="1" customWidth="1"/>
    <col min="782" max="1024" width="8.83203125" customWidth="1"/>
    <col min="1025" max="1025" width="20.33203125" customWidth="1"/>
    <col min="1026" max="1026" width="11" customWidth="1"/>
    <col min="1027" max="1027" width="7" customWidth="1"/>
    <col min="1028" max="1028" width="5.5" customWidth="1"/>
    <col min="1029" max="1029" width="10.1640625" customWidth="1"/>
    <col min="1030" max="1030" width="10.33203125" customWidth="1"/>
    <col min="1031" max="1031" width="11.6640625" customWidth="1"/>
    <col min="1032" max="1032" width="10.5" customWidth="1"/>
    <col min="1033" max="1033" width="11.33203125" customWidth="1"/>
    <col min="1034" max="1034" width="10.6640625" customWidth="1"/>
    <col min="1035" max="1035" width="12" customWidth="1"/>
    <col min="1036" max="1036" width="11.33203125" customWidth="1"/>
    <col min="1037" max="1037" width="9.83203125" bestFit="1" customWidth="1"/>
    <col min="1038" max="1280" width="8.83203125" customWidth="1"/>
    <col min="1281" max="1281" width="20.33203125" customWidth="1"/>
    <col min="1282" max="1282" width="11" customWidth="1"/>
    <col min="1283" max="1283" width="7" customWidth="1"/>
    <col min="1284" max="1284" width="5.5" customWidth="1"/>
    <col min="1285" max="1285" width="10.1640625" customWidth="1"/>
    <col min="1286" max="1286" width="10.33203125" customWidth="1"/>
    <col min="1287" max="1287" width="11.6640625" customWidth="1"/>
    <col min="1288" max="1288" width="10.5" customWidth="1"/>
    <col min="1289" max="1289" width="11.33203125" customWidth="1"/>
    <col min="1290" max="1290" width="10.6640625" customWidth="1"/>
    <col min="1291" max="1291" width="12" customWidth="1"/>
    <col min="1292" max="1292" width="11.33203125" customWidth="1"/>
    <col min="1293" max="1293" width="9.83203125" bestFit="1" customWidth="1"/>
    <col min="1294" max="1536" width="8.83203125" customWidth="1"/>
    <col min="1537" max="1537" width="20.33203125" customWidth="1"/>
    <col min="1538" max="1538" width="11" customWidth="1"/>
    <col min="1539" max="1539" width="7" customWidth="1"/>
    <col min="1540" max="1540" width="5.5" customWidth="1"/>
    <col min="1541" max="1541" width="10.1640625" customWidth="1"/>
    <col min="1542" max="1542" width="10.33203125" customWidth="1"/>
    <col min="1543" max="1543" width="11.6640625" customWidth="1"/>
    <col min="1544" max="1544" width="10.5" customWidth="1"/>
    <col min="1545" max="1545" width="11.33203125" customWidth="1"/>
    <col min="1546" max="1546" width="10.6640625" customWidth="1"/>
    <col min="1547" max="1547" width="12" customWidth="1"/>
    <col min="1548" max="1548" width="11.33203125" customWidth="1"/>
    <col min="1549" max="1549" width="9.83203125" bestFit="1" customWidth="1"/>
    <col min="1550" max="1792" width="8.83203125" customWidth="1"/>
    <col min="1793" max="1793" width="20.33203125" customWidth="1"/>
    <col min="1794" max="1794" width="11" customWidth="1"/>
    <col min="1795" max="1795" width="7" customWidth="1"/>
    <col min="1796" max="1796" width="5.5" customWidth="1"/>
    <col min="1797" max="1797" width="10.1640625" customWidth="1"/>
    <col min="1798" max="1798" width="10.33203125" customWidth="1"/>
    <col min="1799" max="1799" width="11.6640625" customWidth="1"/>
    <col min="1800" max="1800" width="10.5" customWidth="1"/>
    <col min="1801" max="1801" width="11.33203125" customWidth="1"/>
    <col min="1802" max="1802" width="10.6640625" customWidth="1"/>
    <col min="1803" max="1803" width="12" customWidth="1"/>
    <col min="1804" max="1804" width="11.33203125" customWidth="1"/>
    <col min="1805" max="1805" width="9.83203125" bestFit="1" customWidth="1"/>
    <col min="1806" max="2048" width="8.83203125" customWidth="1"/>
    <col min="2049" max="2049" width="20.33203125" customWidth="1"/>
    <col min="2050" max="2050" width="11" customWidth="1"/>
    <col min="2051" max="2051" width="7" customWidth="1"/>
    <col min="2052" max="2052" width="5.5" customWidth="1"/>
    <col min="2053" max="2053" width="10.1640625" customWidth="1"/>
    <col min="2054" max="2054" width="10.33203125" customWidth="1"/>
    <col min="2055" max="2055" width="11.6640625" customWidth="1"/>
    <col min="2056" max="2056" width="10.5" customWidth="1"/>
    <col min="2057" max="2057" width="11.33203125" customWidth="1"/>
    <col min="2058" max="2058" width="10.6640625" customWidth="1"/>
    <col min="2059" max="2059" width="12" customWidth="1"/>
    <col min="2060" max="2060" width="11.33203125" customWidth="1"/>
    <col min="2061" max="2061" width="9.83203125" bestFit="1" customWidth="1"/>
    <col min="2062" max="2304" width="8.83203125" customWidth="1"/>
    <col min="2305" max="2305" width="20.33203125" customWidth="1"/>
    <col min="2306" max="2306" width="11" customWidth="1"/>
    <col min="2307" max="2307" width="7" customWidth="1"/>
    <col min="2308" max="2308" width="5.5" customWidth="1"/>
    <col min="2309" max="2309" width="10.1640625" customWidth="1"/>
    <col min="2310" max="2310" width="10.33203125" customWidth="1"/>
    <col min="2311" max="2311" width="11.6640625" customWidth="1"/>
    <col min="2312" max="2312" width="10.5" customWidth="1"/>
    <col min="2313" max="2313" width="11.33203125" customWidth="1"/>
    <col min="2314" max="2314" width="10.6640625" customWidth="1"/>
    <col min="2315" max="2315" width="12" customWidth="1"/>
    <col min="2316" max="2316" width="11.33203125" customWidth="1"/>
    <col min="2317" max="2317" width="9.83203125" bestFit="1" customWidth="1"/>
    <col min="2318" max="2560" width="8.83203125" customWidth="1"/>
    <col min="2561" max="2561" width="20.33203125" customWidth="1"/>
    <col min="2562" max="2562" width="11" customWidth="1"/>
    <col min="2563" max="2563" width="7" customWidth="1"/>
    <col min="2564" max="2564" width="5.5" customWidth="1"/>
    <col min="2565" max="2565" width="10.1640625" customWidth="1"/>
    <col min="2566" max="2566" width="10.33203125" customWidth="1"/>
    <col min="2567" max="2567" width="11.6640625" customWidth="1"/>
    <col min="2568" max="2568" width="10.5" customWidth="1"/>
    <col min="2569" max="2569" width="11.33203125" customWidth="1"/>
    <col min="2570" max="2570" width="10.6640625" customWidth="1"/>
    <col min="2571" max="2571" width="12" customWidth="1"/>
    <col min="2572" max="2572" width="11.33203125" customWidth="1"/>
    <col min="2573" max="2573" width="9.83203125" bestFit="1" customWidth="1"/>
    <col min="2574" max="2816" width="8.83203125" customWidth="1"/>
    <col min="2817" max="2817" width="20.33203125" customWidth="1"/>
    <col min="2818" max="2818" width="11" customWidth="1"/>
    <col min="2819" max="2819" width="7" customWidth="1"/>
    <col min="2820" max="2820" width="5.5" customWidth="1"/>
    <col min="2821" max="2821" width="10.1640625" customWidth="1"/>
    <col min="2822" max="2822" width="10.33203125" customWidth="1"/>
    <col min="2823" max="2823" width="11.6640625" customWidth="1"/>
    <col min="2824" max="2824" width="10.5" customWidth="1"/>
    <col min="2825" max="2825" width="11.33203125" customWidth="1"/>
    <col min="2826" max="2826" width="10.6640625" customWidth="1"/>
    <col min="2827" max="2827" width="12" customWidth="1"/>
    <col min="2828" max="2828" width="11.33203125" customWidth="1"/>
    <col min="2829" max="2829" width="9.83203125" bestFit="1" customWidth="1"/>
    <col min="2830" max="3072" width="8.83203125" customWidth="1"/>
    <col min="3073" max="3073" width="20.33203125" customWidth="1"/>
    <col min="3074" max="3074" width="11" customWidth="1"/>
    <col min="3075" max="3075" width="7" customWidth="1"/>
    <col min="3076" max="3076" width="5.5" customWidth="1"/>
    <col min="3077" max="3077" width="10.1640625" customWidth="1"/>
    <col min="3078" max="3078" width="10.33203125" customWidth="1"/>
    <col min="3079" max="3079" width="11.6640625" customWidth="1"/>
    <col min="3080" max="3080" width="10.5" customWidth="1"/>
    <col min="3081" max="3081" width="11.33203125" customWidth="1"/>
    <col min="3082" max="3082" width="10.6640625" customWidth="1"/>
    <col min="3083" max="3083" width="12" customWidth="1"/>
    <col min="3084" max="3084" width="11.33203125" customWidth="1"/>
    <col min="3085" max="3085" width="9.83203125" bestFit="1" customWidth="1"/>
    <col min="3086" max="3328" width="8.83203125" customWidth="1"/>
    <col min="3329" max="3329" width="20.33203125" customWidth="1"/>
    <col min="3330" max="3330" width="11" customWidth="1"/>
    <col min="3331" max="3331" width="7" customWidth="1"/>
    <col min="3332" max="3332" width="5.5" customWidth="1"/>
    <col min="3333" max="3333" width="10.1640625" customWidth="1"/>
    <col min="3334" max="3334" width="10.33203125" customWidth="1"/>
    <col min="3335" max="3335" width="11.6640625" customWidth="1"/>
    <col min="3336" max="3336" width="10.5" customWidth="1"/>
    <col min="3337" max="3337" width="11.33203125" customWidth="1"/>
    <col min="3338" max="3338" width="10.6640625" customWidth="1"/>
    <col min="3339" max="3339" width="12" customWidth="1"/>
    <col min="3340" max="3340" width="11.33203125" customWidth="1"/>
    <col min="3341" max="3341" width="9.83203125" bestFit="1" customWidth="1"/>
    <col min="3342" max="3584" width="8.83203125" customWidth="1"/>
    <col min="3585" max="3585" width="20.33203125" customWidth="1"/>
    <col min="3586" max="3586" width="11" customWidth="1"/>
    <col min="3587" max="3587" width="7" customWidth="1"/>
    <col min="3588" max="3588" width="5.5" customWidth="1"/>
    <col min="3589" max="3589" width="10.1640625" customWidth="1"/>
    <col min="3590" max="3590" width="10.33203125" customWidth="1"/>
    <col min="3591" max="3591" width="11.6640625" customWidth="1"/>
    <col min="3592" max="3592" width="10.5" customWidth="1"/>
    <col min="3593" max="3593" width="11.33203125" customWidth="1"/>
    <col min="3594" max="3594" width="10.6640625" customWidth="1"/>
    <col min="3595" max="3595" width="12" customWidth="1"/>
    <col min="3596" max="3596" width="11.33203125" customWidth="1"/>
    <col min="3597" max="3597" width="9.83203125" bestFit="1" customWidth="1"/>
    <col min="3598" max="3840" width="8.83203125" customWidth="1"/>
    <col min="3841" max="3841" width="20.33203125" customWidth="1"/>
    <col min="3842" max="3842" width="11" customWidth="1"/>
    <col min="3843" max="3843" width="7" customWidth="1"/>
    <col min="3844" max="3844" width="5.5" customWidth="1"/>
    <col min="3845" max="3845" width="10.1640625" customWidth="1"/>
    <col min="3846" max="3846" width="10.33203125" customWidth="1"/>
    <col min="3847" max="3847" width="11.6640625" customWidth="1"/>
    <col min="3848" max="3848" width="10.5" customWidth="1"/>
    <col min="3849" max="3849" width="11.33203125" customWidth="1"/>
    <col min="3850" max="3850" width="10.6640625" customWidth="1"/>
    <col min="3851" max="3851" width="12" customWidth="1"/>
    <col min="3852" max="3852" width="11.33203125" customWidth="1"/>
    <col min="3853" max="3853" width="9.83203125" bestFit="1" customWidth="1"/>
    <col min="3854" max="4096" width="8.83203125" customWidth="1"/>
    <col min="4097" max="4097" width="20.33203125" customWidth="1"/>
    <col min="4098" max="4098" width="11" customWidth="1"/>
    <col min="4099" max="4099" width="7" customWidth="1"/>
    <col min="4100" max="4100" width="5.5" customWidth="1"/>
    <col min="4101" max="4101" width="10.1640625" customWidth="1"/>
    <col min="4102" max="4102" width="10.33203125" customWidth="1"/>
    <col min="4103" max="4103" width="11.6640625" customWidth="1"/>
    <col min="4104" max="4104" width="10.5" customWidth="1"/>
    <col min="4105" max="4105" width="11.33203125" customWidth="1"/>
    <col min="4106" max="4106" width="10.6640625" customWidth="1"/>
    <col min="4107" max="4107" width="12" customWidth="1"/>
    <col min="4108" max="4108" width="11.33203125" customWidth="1"/>
    <col min="4109" max="4109" width="9.83203125" bestFit="1" customWidth="1"/>
    <col min="4110" max="4352" width="8.83203125" customWidth="1"/>
    <col min="4353" max="4353" width="20.33203125" customWidth="1"/>
    <col min="4354" max="4354" width="11" customWidth="1"/>
    <col min="4355" max="4355" width="7" customWidth="1"/>
    <col min="4356" max="4356" width="5.5" customWidth="1"/>
    <col min="4357" max="4357" width="10.1640625" customWidth="1"/>
    <col min="4358" max="4358" width="10.33203125" customWidth="1"/>
    <col min="4359" max="4359" width="11.6640625" customWidth="1"/>
    <col min="4360" max="4360" width="10.5" customWidth="1"/>
    <col min="4361" max="4361" width="11.33203125" customWidth="1"/>
    <col min="4362" max="4362" width="10.6640625" customWidth="1"/>
    <col min="4363" max="4363" width="12" customWidth="1"/>
    <col min="4364" max="4364" width="11.33203125" customWidth="1"/>
    <col min="4365" max="4365" width="9.83203125" bestFit="1" customWidth="1"/>
    <col min="4366" max="4608" width="8.83203125" customWidth="1"/>
    <col min="4609" max="4609" width="20.33203125" customWidth="1"/>
    <col min="4610" max="4610" width="11" customWidth="1"/>
    <col min="4611" max="4611" width="7" customWidth="1"/>
    <col min="4612" max="4612" width="5.5" customWidth="1"/>
    <col min="4613" max="4613" width="10.1640625" customWidth="1"/>
    <col min="4614" max="4614" width="10.33203125" customWidth="1"/>
    <col min="4615" max="4615" width="11.6640625" customWidth="1"/>
    <col min="4616" max="4616" width="10.5" customWidth="1"/>
    <col min="4617" max="4617" width="11.33203125" customWidth="1"/>
    <col min="4618" max="4618" width="10.6640625" customWidth="1"/>
    <col min="4619" max="4619" width="12" customWidth="1"/>
    <col min="4620" max="4620" width="11.33203125" customWidth="1"/>
    <col min="4621" max="4621" width="9.83203125" bestFit="1" customWidth="1"/>
    <col min="4622" max="4864" width="8.83203125" customWidth="1"/>
    <col min="4865" max="4865" width="20.33203125" customWidth="1"/>
    <col min="4866" max="4866" width="11" customWidth="1"/>
    <col min="4867" max="4867" width="7" customWidth="1"/>
    <col min="4868" max="4868" width="5.5" customWidth="1"/>
    <col min="4869" max="4869" width="10.1640625" customWidth="1"/>
    <col min="4870" max="4870" width="10.33203125" customWidth="1"/>
    <col min="4871" max="4871" width="11.6640625" customWidth="1"/>
    <col min="4872" max="4872" width="10.5" customWidth="1"/>
    <col min="4873" max="4873" width="11.33203125" customWidth="1"/>
    <col min="4874" max="4874" width="10.6640625" customWidth="1"/>
    <col min="4875" max="4875" width="12" customWidth="1"/>
    <col min="4876" max="4876" width="11.33203125" customWidth="1"/>
    <col min="4877" max="4877" width="9.83203125" bestFit="1" customWidth="1"/>
    <col min="4878" max="5120" width="8.83203125" customWidth="1"/>
    <col min="5121" max="5121" width="20.33203125" customWidth="1"/>
    <col min="5122" max="5122" width="11" customWidth="1"/>
    <col min="5123" max="5123" width="7" customWidth="1"/>
    <col min="5124" max="5124" width="5.5" customWidth="1"/>
    <col min="5125" max="5125" width="10.1640625" customWidth="1"/>
    <col min="5126" max="5126" width="10.33203125" customWidth="1"/>
    <col min="5127" max="5127" width="11.6640625" customWidth="1"/>
    <col min="5128" max="5128" width="10.5" customWidth="1"/>
    <col min="5129" max="5129" width="11.33203125" customWidth="1"/>
    <col min="5130" max="5130" width="10.6640625" customWidth="1"/>
    <col min="5131" max="5131" width="12" customWidth="1"/>
    <col min="5132" max="5132" width="11.33203125" customWidth="1"/>
    <col min="5133" max="5133" width="9.83203125" bestFit="1" customWidth="1"/>
    <col min="5134" max="5376" width="8.83203125" customWidth="1"/>
    <col min="5377" max="5377" width="20.33203125" customWidth="1"/>
    <col min="5378" max="5378" width="11" customWidth="1"/>
    <col min="5379" max="5379" width="7" customWidth="1"/>
    <col min="5380" max="5380" width="5.5" customWidth="1"/>
    <col min="5381" max="5381" width="10.1640625" customWidth="1"/>
    <col min="5382" max="5382" width="10.33203125" customWidth="1"/>
    <col min="5383" max="5383" width="11.6640625" customWidth="1"/>
    <col min="5384" max="5384" width="10.5" customWidth="1"/>
    <col min="5385" max="5385" width="11.33203125" customWidth="1"/>
    <col min="5386" max="5386" width="10.6640625" customWidth="1"/>
    <col min="5387" max="5387" width="12" customWidth="1"/>
    <col min="5388" max="5388" width="11.33203125" customWidth="1"/>
    <col min="5389" max="5389" width="9.83203125" bestFit="1" customWidth="1"/>
    <col min="5390" max="5632" width="8.83203125" customWidth="1"/>
    <col min="5633" max="5633" width="20.33203125" customWidth="1"/>
    <col min="5634" max="5634" width="11" customWidth="1"/>
    <col min="5635" max="5635" width="7" customWidth="1"/>
    <col min="5636" max="5636" width="5.5" customWidth="1"/>
    <col min="5637" max="5637" width="10.1640625" customWidth="1"/>
    <col min="5638" max="5638" width="10.33203125" customWidth="1"/>
    <col min="5639" max="5639" width="11.6640625" customWidth="1"/>
    <col min="5640" max="5640" width="10.5" customWidth="1"/>
    <col min="5641" max="5641" width="11.33203125" customWidth="1"/>
    <col min="5642" max="5642" width="10.6640625" customWidth="1"/>
    <col min="5643" max="5643" width="12" customWidth="1"/>
    <col min="5644" max="5644" width="11.33203125" customWidth="1"/>
    <col min="5645" max="5645" width="9.83203125" bestFit="1" customWidth="1"/>
    <col min="5646" max="5888" width="8.83203125" customWidth="1"/>
    <col min="5889" max="5889" width="20.33203125" customWidth="1"/>
    <col min="5890" max="5890" width="11" customWidth="1"/>
    <col min="5891" max="5891" width="7" customWidth="1"/>
    <col min="5892" max="5892" width="5.5" customWidth="1"/>
    <col min="5893" max="5893" width="10.1640625" customWidth="1"/>
    <col min="5894" max="5894" width="10.33203125" customWidth="1"/>
    <col min="5895" max="5895" width="11.6640625" customWidth="1"/>
    <col min="5896" max="5896" width="10.5" customWidth="1"/>
    <col min="5897" max="5897" width="11.33203125" customWidth="1"/>
    <col min="5898" max="5898" width="10.6640625" customWidth="1"/>
    <col min="5899" max="5899" width="12" customWidth="1"/>
    <col min="5900" max="5900" width="11.33203125" customWidth="1"/>
    <col min="5901" max="5901" width="9.83203125" bestFit="1" customWidth="1"/>
    <col min="5902" max="6144" width="8.83203125" customWidth="1"/>
    <col min="6145" max="6145" width="20.33203125" customWidth="1"/>
    <col min="6146" max="6146" width="11" customWidth="1"/>
    <col min="6147" max="6147" width="7" customWidth="1"/>
    <col min="6148" max="6148" width="5.5" customWidth="1"/>
    <col min="6149" max="6149" width="10.1640625" customWidth="1"/>
    <col min="6150" max="6150" width="10.33203125" customWidth="1"/>
    <col min="6151" max="6151" width="11.6640625" customWidth="1"/>
    <col min="6152" max="6152" width="10.5" customWidth="1"/>
    <col min="6153" max="6153" width="11.33203125" customWidth="1"/>
    <col min="6154" max="6154" width="10.6640625" customWidth="1"/>
    <col min="6155" max="6155" width="12" customWidth="1"/>
    <col min="6156" max="6156" width="11.33203125" customWidth="1"/>
    <col min="6157" max="6157" width="9.83203125" bestFit="1" customWidth="1"/>
    <col min="6158" max="6400" width="8.83203125" customWidth="1"/>
    <col min="6401" max="6401" width="20.33203125" customWidth="1"/>
    <col min="6402" max="6402" width="11" customWidth="1"/>
    <col min="6403" max="6403" width="7" customWidth="1"/>
    <col min="6404" max="6404" width="5.5" customWidth="1"/>
    <col min="6405" max="6405" width="10.1640625" customWidth="1"/>
    <col min="6406" max="6406" width="10.33203125" customWidth="1"/>
    <col min="6407" max="6407" width="11.6640625" customWidth="1"/>
    <col min="6408" max="6408" width="10.5" customWidth="1"/>
    <col min="6409" max="6409" width="11.33203125" customWidth="1"/>
    <col min="6410" max="6410" width="10.6640625" customWidth="1"/>
    <col min="6411" max="6411" width="12" customWidth="1"/>
    <col min="6412" max="6412" width="11.33203125" customWidth="1"/>
    <col min="6413" max="6413" width="9.83203125" bestFit="1" customWidth="1"/>
    <col min="6414" max="6656" width="8.83203125" customWidth="1"/>
    <col min="6657" max="6657" width="20.33203125" customWidth="1"/>
    <col min="6658" max="6658" width="11" customWidth="1"/>
    <col min="6659" max="6659" width="7" customWidth="1"/>
    <col min="6660" max="6660" width="5.5" customWidth="1"/>
    <col min="6661" max="6661" width="10.1640625" customWidth="1"/>
    <col min="6662" max="6662" width="10.33203125" customWidth="1"/>
    <col min="6663" max="6663" width="11.6640625" customWidth="1"/>
    <col min="6664" max="6664" width="10.5" customWidth="1"/>
    <col min="6665" max="6665" width="11.33203125" customWidth="1"/>
    <col min="6666" max="6666" width="10.6640625" customWidth="1"/>
    <col min="6667" max="6667" width="12" customWidth="1"/>
    <col min="6668" max="6668" width="11.33203125" customWidth="1"/>
    <col min="6669" max="6669" width="9.83203125" bestFit="1" customWidth="1"/>
    <col min="6670" max="6912" width="8.83203125" customWidth="1"/>
    <col min="6913" max="6913" width="20.33203125" customWidth="1"/>
    <col min="6914" max="6914" width="11" customWidth="1"/>
    <col min="6915" max="6915" width="7" customWidth="1"/>
    <col min="6916" max="6916" width="5.5" customWidth="1"/>
    <col min="6917" max="6917" width="10.1640625" customWidth="1"/>
    <col min="6918" max="6918" width="10.33203125" customWidth="1"/>
    <col min="6919" max="6919" width="11.6640625" customWidth="1"/>
    <col min="6920" max="6920" width="10.5" customWidth="1"/>
    <col min="6921" max="6921" width="11.33203125" customWidth="1"/>
    <col min="6922" max="6922" width="10.6640625" customWidth="1"/>
    <col min="6923" max="6923" width="12" customWidth="1"/>
    <col min="6924" max="6924" width="11.33203125" customWidth="1"/>
    <col min="6925" max="6925" width="9.83203125" bestFit="1" customWidth="1"/>
    <col min="6926" max="7168" width="8.83203125" customWidth="1"/>
    <col min="7169" max="7169" width="20.33203125" customWidth="1"/>
    <col min="7170" max="7170" width="11" customWidth="1"/>
    <col min="7171" max="7171" width="7" customWidth="1"/>
    <col min="7172" max="7172" width="5.5" customWidth="1"/>
    <col min="7173" max="7173" width="10.1640625" customWidth="1"/>
    <col min="7174" max="7174" width="10.33203125" customWidth="1"/>
    <col min="7175" max="7175" width="11.6640625" customWidth="1"/>
    <col min="7176" max="7176" width="10.5" customWidth="1"/>
    <col min="7177" max="7177" width="11.33203125" customWidth="1"/>
    <col min="7178" max="7178" width="10.6640625" customWidth="1"/>
    <col min="7179" max="7179" width="12" customWidth="1"/>
    <col min="7180" max="7180" width="11.33203125" customWidth="1"/>
    <col min="7181" max="7181" width="9.83203125" bestFit="1" customWidth="1"/>
    <col min="7182" max="7424" width="8.83203125" customWidth="1"/>
    <col min="7425" max="7425" width="20.33203125" customWidth="1"/>
    <col min="7426" max="7426" width="11" customWidth="1"/>
    <col min="7427" max="7427" width="7" customWidth="1"/>
    <col min="7428" max="7428" width="5.5" customWidth="1"/>
    <col min="7429" max="7429" width="10.1640625" customWidth="1"/>
    <col min="7430" max="7430" width="10.33203125" customWidth="1"/>
    <col min="7431" max="7431" width="11.6640625" customWidth="1"/>
    <col min="7432" max="7432" width="10.5" customWidth="1"/>
    <col min="7433" max="7433" width="11.33203125" customWidth="1"/>
    <col min="7434" max="7434" width="10.6640625" customWidth="1"/>
    <col min="7435" max="7435" width="12" customWidth="1"/>
    <col min="7436" max="7436" width="11.33203125" customWidth="1"/>
    <col min="7437" max="7437" width="9.83203125" bestFit="1" customWidth="1"/>
    <col min="7438" max="7680" width="8.83203125" customWidth="1"/>
    <col min="7681" max="7681" width="20.33203125" customWidth="1"/>
    <col min="7682" max="7682" width="11" customWidth="1"/>
    <col min="7683" max="7683" width="7" customWidth="1"/>
    <col min="7684" max="7684" width="5.5" customWidth="1"/>
    <col min="7685" max="7685" width="10.1640625" customWidth="1"/>
    <col min="7686" max="7686" width="10.33203125" customWidth="1"/>
    <col min="7687" max="7687" width="11.6640625" customWidth="1"/>
    <col min="7688" max="7688" width="10.5" customWidth="1"/>
    <col min="7689" max="7689" width="11.33203125" customWidth="1"/>
    <col min="7690" max="7690" width="10.6640625" customWidth="1"/>
    <col min="7691" max="7691" width="12" customWidth="1"/>
    <col min="7692" max="7692" width="11.33203125" customWidth="1"/>
    <col min="7693" max="7693" width="9.83203125" bestFit="1" customWidth="1"/>
    <col min="7694" max="7936" width="8.83203125" customWidth="1"/>
    <col min="7937" max="7937" width="20.33203125" customWidth="1"/>
    <col min="7938" max="7938" width="11" customWidth="1"/>
    <col min="7939" max="7939" width="7" customWidth="1"/>
    <col min="7940" max="7940" width="5.5" customWidth="1"/>
    <col min="7941" max="7941" width="10.1640625" customWidth="1"/>
    <col min="7942" max="7942" width="10.33203125" customWidth="1"/>
    <col min="7943" max="7943" width="11.6640625" customWidth="1"/>
    <col min="7944" max="7944" width="10.5" customWidth="1"/>
    <col min="7945" max="7945" width="11.33203125" customWidth="1"/>
    <col min="7946" max="7946" width="10.6640625" customWidth="1"/>
    <col min="7947" max="7947" width="12" customWidth="1"/>
    <col min="7948" max="7948" width="11.33203125" customWidth="1"/>
    <col min="7949" max="7949" width="9.83203125" bestFit="1" customWidth="1"/>
    <col min="7950" max="8192" width="8.83203125" customWidth="1"/>
    <col min="8193" max="8193" width="20.33203125" customWidth="1"/>
    <col min="8194" max="8194" width="11" customWidth="1"/>
    <col min="8195" max="8195" width="7" customWidth="1"/>
    <col min="8196" max="8196" width="5.5" customWidth="1"/>
    <col min="8197" max="8197" width="10.1640625" customWidth="1"/>
    <col min="8198" max="8198" width="10.33203125" customWidth="1"/>
    <col min="8199" max="8199" width="11.6640625" customWidth="1"/>
    <col min="8200" max="8200" width="10.5" customWidth="1"/>
    <col min="8201" max="8201" width="11.33203125" customWidth="1"/>
    <col min="8202" max="8202" width="10.6640625" customWidth="1"/>
    <col min="8203" max="8203" width="12" customWidth="1"/>
    <col min="8204" max="8204" width="11.33203125" customWidth="1"/>
    <col min="8205" max="8205" width="9.83203125" bestFit="1" customWidth="1"/>
    <col min="8206" max="8448" width="8.83203125" customWidth="1"/>
    <col min="8449" max="8449" width="20.33203125" customWidth="1"/>
    <col min="8450" max="8450" width="11" customWidth="1"/>
    <col min="8451" max="8451" width="7" customWidth="1"/>
    <col min="8452" max="8452" width="5.5" customWidth="1"/>
    <col min="8453" max="8453" width="10.1640625" customWidth="1"/>
    <col min="8454" max="8454" width="10.33203125" customWidth="1"/>
    <col min="8455" max="8455" width="11.6640625" customWidth="1"/>
    <col min="8456" max="8456" width="10.5" customWidth="1"/>
    <col min="8457" max="8457" width="11.33203125" customWidth="1"/>
    <col min="8458" max="8458" width="10.6640625" customWidth="1"/>
    <col min="8459" max="8459" width="12" customWidth="1"/>
    <col min="8460" max="8460" width="11.33203125" customWidth="1"/>
    <col min="8461" max="8461" width="9.83203125" bestFit="1" customWidth="1"/>
    <col min="8462" max="8704" width="8.83203125" customWidth="1"/>
    <col min="8705" max="8705" width="20.33203125" customWidth="1"/>
    <col min="8706" max="8706" width="11" customWidth="1"/>
    <col min="8707" max="8707" width="7" customWidth="1"/>
    <col min="8708" max="8708" width="5.5" customWidth="1"/>
    <col min="8709" max="8709" width="10.1640625" customWidth="1"/>
    <col min="8710" max="8710" width="10.33203125" customWidth="1"/>
    <col min="8711" max="8711" width="11.6640625" customWidth="1"/>
    <col min="8712" max="8712" width="10.5" customWidth="1"/>
    <col min="8713" max="8713" width="11.33203125" customWidth="1"/>
    <col min="8714" max="8714" width="10.6640625" customWidth="1"/>
    <col min="8715" max="8715" width="12" customWidth="1"/>
    <col min="8716" max="8716" width="11.33203125" customWidth="1"/>
    <col min="8717" max="8717" width="9.83203125" bestFit="1" customWidth="1"/>
    <col min="8718" max="8960" width="8.83203125" customWidth="1"/>
    <col min="8961" max="8961" width="20.33203125" customWidth="1"/>
    <col min="8962" max="8962" width="11" customWidth="1"/>
    <col min="8963" max="8963" width="7" customWidth="1"/>
    <col min="8964" max="8964" width="5.5" customWidth="1"/>
    <col min="8965" max="8965" width="10.1640625" customWidth="1"/>
    <col min="8966" max="8966" width="10.33203125" customWidth="1"/>
    <col min="8967" max="8967" width="11.6640625" customWidth="1"/>
    <col min="8968" max="8968" width="10.5" customWidth="1"/>
    <col min="8969" max="8969" width="11.33203125" customWidth="1"/>
    <col min="8970" max="8970" width="10.6640625" customWidth="1"/>
    <col min="8971" max="8971" width="12" customWidth="1"/>
    <col min="8972" max="8972" width="11.33203125" customWidth="1"/>
    <col min="8973" max="8973" width="9.83203125" bestFit="1" customWidth="1"/>
    <col min="8974" max="9216" width="8.83203125" customWidth="1"/>
    <col min="9217" max="9217" width="20.33203125" customWidth="1"/>
    <col min="9218" max="9218" width="11" customWidth="1"/>
    <col min="9219" max="9219" width="7" customWidth="1"/>
    <col min="9220" max="9220" width="5.5" customWidth="1"/>
    <col min="9221" max="9221" width="10.1640625" customWidth="1"/>
    <col min="9222" max="9222" width="10.33203125" customWidth="1"/>
    <col min="9223" max="9223" width="11.6640625" customWidth="1"/>
    <col min="9224" max="9224" width="10.5" customWidth="1"/>
    <col min="9225" max="9225" width="11.33203125" customWidth="1"/>
    <col min="9226" max="9226" width="10.6640625" customWidth="1"/>
    <col min="9227" max="9227" width="12" customWidth="1"/>
    <col min="9228" max="9228" width="11.33203125" customWidth="1"/>
    <col min="9229" max="9229" width="9.83203125" bestFit="1" customWidth="1"/>
    <col min="9230" max="9472" width="8.83203125" customWidth="1"/>
    <col min="9473" max="9473" width="20.33203125" customWidth="1"/>
    <col min="9474" max="9474" width="11" customWidth="1"/>
    <col min="9475" max="9475" width="7" customWidth="1"/>
    <col min="9476" max="9476" width="5.5" customWidth="1"/>
    <col min="9477" max="9477" width="10.1640625" customWidth="1"/>
    <col min="9478" max="9478" width="10.33203125" customWidth="1"/>
    <col min="9479" max="9479" width="11.6640625" customWidth="1"/>
    <col min="9480" max="9480" width="10.5" customWidth="1"/>
    <col min="9481" max="9481" width="11.33203125" customWidth="1"/>
    <col min="9482" max="9482" width="10.6640625" customWidth="1"/>
    <col min="9483" max="9483" width="12" customWidth="1"/>
    <col min="9484" max="9484" width="11.33203125" customWidth="1"/>
    <col min="9485" max="9485" width="9.83203125" bestFit="1" customWidth="1"/>
    <col min="9486" max="9728" width="8.83203125" customWidth="1"/>
    <col min="9729" max="9729" width="20.33203125" customWidth="1"/>
    <col min="9730" max="9730" width="11" customWidth="1"/>
    <col min="9731" max="9731" width="7" customWidth="1"/>
    <col min="9732" max="9732" width="5.5" customWidth="1"/>
    <col min="9733" max="9733" width="10.1640625" customWidth="1"/>
    <col min="9734" max="9734" width="10.33203125" customWidth="1"/>
    <col min="9735" max="9735" width="11.6640625" customWidth="1"/>
    <col min="9736" max="9736" width="10.5" customWidth="1"/>
    <col min="9737" max="9737" width="11.33203125" customWidth="1"/>
    <col min="9738" max="9738" width="10.6640625" customWidth="1"/>
    <col min="9739" max="9739" width="12" customWidth="1"/>
    <col min="9740" max="9740" width="11.33203125" customWidth="1"/>
    <col min="9741" max="9741" width="9.83203125" bestFit="1" customWidth="1"/>
    <col min="9742" max="9984" width="8.83203125" customWidth="1"/>
    <col min="9985" max="9985" width="20.33203125" customWidth="1"/>
    <col min="9986" max="9986" width="11" customWidth="1"/>
    <col min="9987" max="9987" width="7" customWidth="1"/>
    <col min="9988" max="9988" width="5.5" customWidth="1"/>
    <col min="9989" max="9989" width="10.1640625" customWidth="1"/>
    <col min="9990" max="9990" width="10.33203125" customWidth="1"/>
    <col min="9991" max="9991" width="11.6640625" customWidth="1"/>
    <col min="9992" max="9992" width="10.5" customWidth="1"/>
    <col min="9993" max="9993" width="11.33203125" customWidth="1"/>
    <col min="9994" max="9994" width="10.6640625" customWidth="1"/>
    <col min="9995" max="9995" width="12" customWidth="1"/>
    <col min="9996" max="9996" width="11.33203125" customWidth="1"/>
    <col min="9997" max="9997" width="9.83203125" bestFit="1" customWidth="1"/>
    <col min="9998" max="10240" width="8.83203125" customWidth="1"/>
    <col min="10241" max="10241" width="20.33203125" customWidth="1"/>
    <col min="10242" max="10242" width="11" customWidth="1"/>
    <col min="10243" max="10243" width="7" customWidth="1"/>
    <col min="10244" max="10244" width="5.5" customWidth="1"/>
    <col min="10245" max="10245" width="10.1640625" customWidth="1"/>
    <col min="10246" max="10246" width="10.33203125" customWidth="1"/>
    <col min="10247" max="10247" width="11.6640625" customWidth="1"/>
    <col min="10248" max="10248" width="10.5" customWidth="1"/>
    <col min="10249" max="10249" width="11.33203125" customWidth="1"/>
    <col min="10250" max="10250" width="10.6640625" customWidth="1"/>
    <col min="10251" max="10251" width="12" customWidth="1"/>
    <col min="10252" max="10252" width="11.33203125" customWidth="1"/>
    <col min="10253" max="10253" width="9.83203125" bestFit="1" customWidth="1"/>
    <col min="10254" max="10496" width="8.83203125" customWidth="1"/>
    <col min="10497" max="10497" width="20.33203125" customWidth="1"/>
    <col min="10498" max="10498" width="11" customWidth="1"/>
    <col min="10499" max="10499" width="7" customWidth="1"/>
    <col min="10500" max="10500" width="5.5" customWidth="1"/>
    <col min="10501" max="10501" width="10.1640625" customWidth="1"/>
    <col min="10502" max="10502" width="10.33203125" customWidth="1"/>
    <col min="10503" max="10503" width="11.6640625" customWidth="1"/>
    <col min="10504" max="10504" width="10.5" customWidth="1"/>
    <col min="10505" max="10505" width="11.33203125" customWidth="1"/>
    <col min="10506" max="10506" width="10.6640625" customWidth="1"/>
    <col min="10507" max="10507" width="12" customWidth="1"/>
    <col min="10508" max="10508" width="11.33203125" customWidth="1"/>
    <col min="10509" max="10509" width="9.83203125" bestFit="1" customWidth="1"/>
    <col min="10510" max="10752" width="8.83203125" customWidth="1"/>
    <col min="10753" max="10753" width="20.33203125" customWidth="1"/>
    <col min="10754" max="10754" width="11" customWidth="1"/>
    <col min="10755" max="10755" width="7" customWidth="1"/>
    <col min="10756" max="10756" width="5.5" customWidth="1"/>
    <col min="10757" max="10757" width="10.1640625" customWidth="1"/>
    <col min="10758" max="10758" width="10.33203125" customWidth="1"/>
    <col min="10759" max="10759" width="11.6640625" customWidth="1"/>
    <col min="10760" max="10760" width="10.5" customWidth="1"/>
    <col min="10761" max="10761" width="11.33203125" customWidth="1"/>
    <col min="10762" max="10762" width="10.6640625" customWidth="1"/>
    <col min="10763" max="10763" width="12" customWidth="1"/>
    <col min="10764" max="10764" width="11.33203125" customWidth="1"/>
    <col min="10765" max="10765" width="9.83203125" bestFit="1" customWidth="1"/>
    <col min="10766" max="11008" width="8.83203125" customWidth="1"/>
    <col min="11009" max="11009" width="20.33203125" customWidth="1"/>
    <col min="11010" max="11010" width="11" customWidth="1"/>
    <col min="11011" max="11011" width="7" customWidth="1"/>
    <col min="11012" max="11012" width="5.5" customWidth="1"/>
    <col min="11013" max="11013" width="10.1640625" customWidth="1"/>
    <col min="11014" max="11014" width="10.33203125" customWidth="1"/>
    <col min="11015" max="11015" width="11.6640625" customWidth="1"/>
    <col min="11016" max="11016" width="10.5" customWidth="1"/>
    <col min="11017" max="11017" width="11.33203125" customWidth="1"/>
    <col min="11018" max="11018" width="10.6640625" customWidth="1"/>
    <col min="11019" max="11019" width="12" customWidth="1"/>
    <col min="11020" max="11020" width="11.33203125" customWidth="1"/>
    <col min="11021" max="11021" width="9.83203125" bestFit="1" customWidth="1"/>
    <col min="11022" max="11264" width="8.83203125" customWidth="1"/>
    <col min="11265" max="11265" width="20.33203125" customWidth="1"/>
    <col min="11266" max="11266" width="11" customWidth="1"/>
    <col min="11267" max="11267" width="7" customWidth="1"/>
    <col min="11268" max="11268" width="5.5" customWidth="1"/>
    <col min="11269" max="11269" width="10.1640625" customWidth="1"/>
    <col min="11270" max="11270" width="10.33203125" customWidth="1"/>
    <col min="11271" max="11271" width="11.6640625" customWidth="1"/>
    <col min="11272" max="11272" width="10.5" customWidth="1"/>
    <col min="11273" max="11273" width="11.33203125" customWidth="1"/>
    <col min="11274" max="11274" width="10.6640625" customWidth="1"/>
    <col min="11275" max="11275" width="12" customWidth="1"/>
    <col min="11276" max="11276" width="11.33203125" customWidth="1"/>
    <col min="11277" max="11277" width="9.83203125" bestFit="1" customWidth="1"/>
    <col min="11278" max="11520" width="8.83203125" customWidth="1"/>
    <col min="11521" max="11521" width="20.33203125" customWidth="1"/>
    <col min="11522" max="11522" width="11" customWidth="1"/>
    <col min="11523" max="11523" width="7" customWidth="1"/>
    <col min="11524" max="11524" width="5.5" customWidth="1"/>
    <col min="11525" max="11525" width="10.1640625" customWidth="1"/>
    <col min="11526" max="11526" width="10.33203125" customWidth="1"/>
    <col min="11527" max="11527" width="11.6640625" customWidth="1"/>
    <col min="11528" max="11528" width="10.5" customWidth="1"/>
    <col min="11529" max="11529" width="11.33203125" customWidth="1"/>
    <col min="11530" max="11530" width="10.6640625" customWidth="1"/>
    <col min="11531" max="11531" width="12" customWidth="1"/>
    <col min="11532" max="11532" width="11.33203125" customWidth="1"/>
    <col min="11533" max="11533" width="9.83203125" bestFit="1" customWidth="1"/>
    <col min="11534" max="11776" width="8.83203125" customWidth="1"/>
    <col min="11777" max="11777" width="20.33203125" customWidth="1"/>
    <col min="11778" max="11778" width="11" customWidth="1"/>
    <col min="11779" max="11779" width="7" customWidth="1"/>
    <col min="11780" max="11780" width="5.5" customWidth="1"/>
    <col min="11781" max="11781" width="10.1640625" customWidth="1"/>
    <col min="11782" max="11782" width="10.33203125" customWidth="1"/>
    <col min="11783" max="11783" width="11.6640625" customWidth="1"/>
    <col min="11784" max="11784" width="10.5" customWidth="1"/>
    <col min="11785" max="11785" width="11.33203125" customWidth="1"/>
    <col min="11786" max="11786" width="10.6640625" customWidth="1"/>
    <col min="11787" max="11787" width="12" customWidth="1"/>
    <col min="11788" max="11788" width="11.33203125" customWidth="1"/>
    <col min="11789" max="11789" width="9.83203125" bestFit="1" customWidth="1"/>
    <col min="11790" max="12032" width="8.83203125" customWidth="1"/>
    <col min="12033" max="12033" width="20.33203125" customWidth="1"/>
    <col min="12034" max="12034" width="11" customWidth="1"/>
    <col min="12035" max="12035" width="7" customWidth="1"/>
    <col min="12036" max="12036" width="5.5" customWidth="1"/>
    <col min="12037" max="12037" width="10.1640625" customWidth="1"/>
    <col min="12038" max="12038" width="10.33203125" customWidth="1"/>
    <col min="12039" max="12039" width="11.6640625" customWidth="1"/>
    <col min="12040" max="12040" width="10.5" customWidth="1"/>
    <col min="12041" max="12041" width="11.33203125" customWidth="1"/>
    <col min="12042" max="12042" width="10.6640625" customWidth="1"/>
    <col min="12043" max="12043" width="12" customWidth="1"/>
    <col min="12044" max="12044" width="11.33203125" customWidth="1"/>
    <col min="12045" max="12045" width="9.83203125" bestFit="1" customWidth="1"/>
    <col min="12046" max="12288" width="8.83203125" customWidth="1"/>
    <col min="12289" max="12289" width="20.33203125" customWidth="1"/>
    <col min="12290" max="12290" width="11" customWidth="1"/>
    <col min="12291" max="12291" width="7" customWidth="1"/>
    <col min="12292" max="12292" width="5.5" customWidth="1"/>
    <col min="12293" max="12293" width="10.1640625" customWidth="1"/>
    <col min="12294" max="12294" width="10.33203125" customWidth="1"/>
    <col min="12295" max="12295" width="11.6640625" customWidth="1"/>
    <col min="12296" max="12296" width="10.5" customWidth="1"/>
    <col min="12297" max="12297" width="11.33203125" customWidth="1"/>
    <col min="12298" max="12298" width="10.6640625" customWidth="1"/>
    <col min="12299" max="12299" width="12" customWidth="1"/>
    <col min="12300" max="12300" width="11.33203125" customWidth="1"/>
    <col min="12301" max="12301" width="9.83203125" bestFit="1" customWidth="1"/>
    <col min="12302" max="12544" width="8.83203125" customWidth="1"/>
    <col min="12545" max="12545" width="20.33203125" customWidth="1"/>
    <col min="12546" max="12546" width="11" customWidth="1"/>
    <col min="12547" max="12547" width="7" customWidth="1"/>
    <col min="12548" max="12548" width="5.5" customWidth="1"/>
    <col min="12549" max="12549" width="10.1640625" customWidth="1"/>
    <col min="12550" max="12550" width="10.33203125" customWidth="1"/>
    <col min="12551" max="12551" width="11.6640625" customWidth="1"/>
    <col min="12552" max="12552" width="10.5" customWidth="1"/>
    <col min="12553" max="12553" width="11.33203125" customWidth="1"/>
    <col min="12554" max="12554" width="10.6640625" customWidth="1"/>
    <col min="12555" max="12555" width="12" customWidth="1"/>
    <col min="12556" max="12556" width="11.33203125" customWidth="1"/>
    <col min="12557" max="12557" width="9.83203125" bestFit="1" customWidth="1"/>
    <col min="12558" max="12800" width="8.83203125" customWidth="1"/>
    <col min="12801" max="12801" width="20.33203125" customWidth="1"/>
    <col min="12802" max="12802" width="11" customWidth="1"/>
    <col min="12803" max="12803" width="7" customWidth="1"/>
    <col min="12804" max="12804" width="5.5" customWidth="1"/>
    <col min="12805" max="12805" width="10.1640625" customWidth="1"/>
    <col min="12806" max="12806" width="10.33203125" customWidth="1"/>
    <col min="12807" max="12807" width="11.6640625" customWidth="1"/>
    <col min="12808" max="12808" width="10.5" customWidth="1"/>
    <col min="12809" max="12809" width="11.33203125" customWidth="1"/>
    <col min="12810" max="12810" width="10.6640625" customWidth="1"/>
    <col min="12811" max="12811" width="12" customWidth="1"/>
    <col min="12812" max="12812" width="11.33203125" customWidth="1"/>
    <col min="12813" max="12813" width="9.83203125" bestFit="1" customWidth="1"/>
    <col min="12814" max="13056" width="8.83203125" customWidth="1"/>
    <col min="13057" max="13057" width="20.33203125" customWidth="1"/>
    <col min="13058" max="13058" width="11" customWidth="1"/>
    <col min="13059" max="13059" width="7" customWidth="1"/>
    <col min="13060" max="13060" width="5.5" customWidth="1"/>
    <col min="13061" max="13061" width="10.1640625" customWidth="1"/>
    <col min="13062" max="13062" width="10.33203125" customWidth="1"/>
    <col min="13063" max="13063" width="11.6640625" customWidth="1"/>
    <col min="13064" max="13064" width="10.5" customWidth="1"/>
    <col min="13065" max="13065" width="11.33203125" customWidth="1"/>
    <col min="13066" max="13066" width="10.6640625" customWidth="1"/>
    <col min="13067" max="13067" width="12" customWidth="1"/>
    <col min="13068" max="13068" width="11.33203125" customWidth="1"/>
    <col min="13069" max="13069" width="9.83203125" bestFit="1" customWidth="1"/>
    <col min="13070" max="13312" width="8.83203125" customWidth="1"/>
    <col min="13313" max="13313" width="20.33203125" customWidth="1"/>
    <col min="13314" max="13314" width="11" customWidth="1"/>
    <col min="13315" max="13315" width="7" customWidth="1"/>
    <col min="13316" max="13316" width="5.5" customWidth="1"/>
    <col min="13317" max="13317" width="10.1640625" customWidth="1"/>
    <col min="13318" max="13318" width="10.33203125" customWidth="1"/>
    <col min="13319" max="13319" width="11.6640625" customWidth="1"/>
    <col min="13320" max="13320" width="10.5" customWidth="1"/>
    <col min="13321" max="13321" width="11.33203125" customWidth="1"/>
    <col min="13322" max="13322" width="10.6640625" customWidth="1"/>
    <col min="13323" max="13323" width="12" customWidth="1"/>
    <col min="13324" max="13324" width="11.33203125" customWidth="1"/>
    <col min="13325" max="13325" width="9.83203125" bestFit="1" customWidth="1"/>
    <col min="13326" max="13568" width="8.83203125" customWidth="1"/>
    <col min="13569" max="13569" width="20.33203125" customWidth="1"/>
    <col min="13570" max="13570" width="11" customWidth="1"/>
    <col min="13571" max="13571" width="7" customWidth="1"/>
    <col min="13572" max="13572" width="5.5" customWidth="1"/>
    <col min="13573" max="13573" width="10.1640625" customWidth="1"/>
    <col min="13574" max="13574" width="10.33203125" customWidth="1"/>
    <col min="13575" max="13575" width="11.6640625" customWidth="1"/>
    <col min="13576" max="13576" width="10.5" customWidth="1"/>
    <col min="13577" max="13577" width="11.33203125" customWidth="1"/>
    <col min="13578" max="13578" width="10.6640625" customWidth="1"/>
    <col min="13579" max="13579" width="12" customWidth="1"/>
    <col min="13580" max="13580" width="11.33203125" customWidth="1"/>
    <col min="13581" max="13581" width="9.83203125" bestFit="1" customWidth="1"/>
    <col min="13582" max="13824" width="8.83203125" customWidth="1"/>
    <col min="13825" max="13825" width="20.33203125" customWidth="1"/>
    <col min="13826" max="13826" width="11" customWidth="1"/>
    <col min="13827" max="13827" width="7" customWidth="1"/>
    <col min="13828" max="13828" width="5.5" customWidth="1"/>
    <col min="13829" max="13829" width="10.1640625" customWidth="1"/>
    <col min="13830" max="13830" width="10.33203125" customWidth="1"/>
    <col min="13831" max="13831" width="11.6640625" customWidth="1"/>
    <col min="13832" max="13832" width="10.5" customWidth="1"/>
    <col min="13833" max="13833" width="11.33203125" customWidth="1"/>
    <col min="13834" max="13834" width="10.6640625" customWidth="1"/>
    <col min="13835" max="13835" width="12" customWidth="1"/>
    <col min="13836" max="13836" width="11.33203125" customWidth="1"/>
    <col min="13837" max="13837" width="9.83203125" bestFit="1" customWidth="1"/>
    <col min="13838" max="14080" width="8.83203125" customWidth="1"/>
    <col min="14081" max="14081" width="20.33203125" customWidth="1"/>
    <col min="14082" max="14082" width="11" customWidth="1"/>
    <col min="14083" max="14083" width="7" customWidth="1"/>
    <col min="14084" max="14084" width="5.5" customWidth="1"/>
    <col min="14085" max="14085" width="10.1640625" customWidth="1"/>
    <col min="14086" max="14086" width="10.33203125" customWidth="1"/>
    <col min="14087" max="14087" width="11.6640625" customWidth="1"/>
    <col min="14088" max="14088" width="10.5" customWidth="1"/>
    <col min="14089" max="14089" width="11.33203125" customWidth="1"/>
    <col min="14090" max="14090" width="10.6640625" customWidth="1"/>
    <col min="14091" max="14091" width="12" customWidth="1"/>
    <col min="14092" max="14092" width="11.33203125" customWidth="1"/>
    <col min="14093" max="14093" width="9.83203125" bestFit="1" customWidth="1"/>
    <col min="14094" max="14336" width="8.83203125" customWidth="1"/>
    <col min="14337" max="14337" width="20.33203125" customWidth="1"/>
    <col min="14338" max="14338" width="11" customWidth="1"/>
    <col min="14339" max="14339" width="7" customWidth="1"/>
    <col min="14340" max="14340" width="5.5" customWidth="1"/>
    <col min="14341" max="14341" width="10.1640625" customWidth="1"/>
    <col min="14342" max="14342" width="10.33203125" customWidth="1"/>
    <col min="14343" max="14343" width="11.6640625" customWidth="1"/>
    <col min="14344" max="14344" width="10.5" customWidth="1"/>
    <col min="14345" max="14345" width="11.33203125" customWidth="1"/>
    <col min="14346" max="14346" width="10.6640625" customWidth="1"/>
    <col min="14347" max="14347" width="12" customWidth="1"/>
    <col min="14348" max="14348" width="11.33203125" customWidth="1"/>
    <col min="14349" max="14349" width="9.83203125" bestFit="1" customWidth="1"/>
    <col min="14350" max="14592" width="8.83203125" customWidth="1"/>
    <col min="14593" max="14593" width="20.33203125" customWidth="1"/>
    <col min="14594" max="14594" width="11" customWidth="1"/>
    <col min="14595" max="14595" width="7" customWidth="1"/>
    <col min="14596" max="14596" width="5.5" customWidth="1"/>
    <col min="14597" max="14597" width="10.1640625" customWidth="1"/>
    <col min="14598" max="14598" width="10.33203125" customWidth="1"/>
    <col min="14599" max="14599" width="11.6640625" customWidth="1"/>
    <col min="14600" max="14600" width="10.5" customWidth="1"/>
    <col min="14601" max="14601" width="11.33203125" customWidth="1"/>
    <col min="14602" max="14602" width="10.6640625" customWidth="1"/>
    <col min="14603" max="14603" width="12" customWidth="1"/>
    <col min="14604" max="14604" width="11.33203125" customWidth="1"/>
    <col min="14605" max="14605" width="9.83203125" bestFit="1" customWidth="1"/>
    <col min="14606" max="14848" width="8.83203125" customWidth="1"/>
    <col min="14849" max="14849" width="20.33203125" customWidth="1"/>
    <col min="14850" max="14850" width="11" customWidth="1"/>
    <col min="14851" max="14851" width="7" customWidth="1"/>
    <col min="14852" max="14852" width="5.5" customWidth="1"/>
    <col min="14853" max="14853" width="10.1640625" customWidth="1"/>
    <col min="14854" max="14854" width="10.33203125" customWidth="1"/>
    <col min="14855" max="14855" width="11.6640625" customWidth="1"/>
    <col min="14856" max="14856" width="10.5" customWidth="1"/>
    <col min="14857" max="14857" width="11.33203125" customWidth="1"/>
    <col min="14858" max="14858" width="10.6640625" customWidth="1"/>
    <col min="14859" max="14859" width="12" customWidth="1"/>
    <col min="14860" max="14860" width="11.33203125" customWidth="1"/>
    <col min="14861" max="14861" width="9.83203125" bestFit="1" customWidth="1"/>
    <col min="14862" max="15104" width="8.83203125" customWidth="1"/>
    <col min="15105" max="15105" width="20.33203125" customWidth="1"/>
    <col min="15106" max="15106" width="11" customWidth="1"/>
    <col min="15107" max="15107" width="7" customWidth="1"/>
    <col min="15108" max="15108" width="5.5" customWidth="1"/>
    <col min="15109" max="15109" width="10.1640625" customWidth="1"/>
    <col min="15110" max="15110" width="10.33203125" customWidth="1"/>
    <col min="15111" max="15111" width="11.6640625" customWidth="1"/>
    <col min="15112" max="15112" width="10.5" customWidth="1"/>
    <col min="15113" max="15113" width="11.33203125" customWidth="1"/>
    <col min="15114" max="15114" width="10.6640625" customWidth="1"/>
    <col min="15115" max="15115" width="12" customWidth="1"/>
    <col min="15116" max="15116" width="11.33203125" customWidth="1"/>
    <col min="15117" max="15117" width="9.83203125" bestFit="1" customWidth="1"/>
    <col min="15118" max="15360" width="8.83203125" customWidth="1"/>
    <col min="15361" max="15361" width="20.33203125" customWidth="1"/>
    <col min="15362" max="15362" width="11" customWidth="1"/>
    <col min="15363" max="15363" width="7" customWidth="1"/>
    <col min="15364" max="15364" width="5.5" customWidth="1"/>
    <col min="15365" max="15365" width="10.1640625" customWidth="1"/>
    <col min="15366" max="15366" width="10.33203125" customWidth="1"/>
    <col min="15367" max="15367" width="11.6640625" customWidth="1"/>
    <col min="15368" max="15368" width="10.5" customWidth="1"/>
    <col min="15369" max="15369" width="11.33203125" customWidth="1"/>
    <col min="15370" max="15370" width="10.6640625" customWidth="1"/>
    <col min="15371" max="15371" width="12" customWidth="1"/>
    <col min="15372" max="15372" width="11.33203125" customWidth="1"/>
    <col min="15373" max="15373" width="9.83203125" bestFit="1" customWidth="1"/>
    <col min="15374" max="15616" width="8.83203125" customWidth="1"/>
    <col min="15617" max="15617" width="20.33203125" customWidth="1"/>
    <col min="15618" max="15618" width="11" customWidth="1"/>
    <col min="15619" max="15619" width="7" customWidth="1"/>
    <col min="15620" max="15620" width="5.5" customWidth="1"/>
    <col min="15621" max="15621" width="10.1640625" customWidth="1"/>
    <col min="15622" max="15622" width="10.33203125" customWidth="1"/>
    <col min="15623" max="15623" width="11.6640625" customWidth="1"/>
    <col min="15624" max="15624" width="10.5" customWidth="1"/>
    <col min="15625" max="15625" width="11.33203125" customWidth="1"/>
    <col min="15626" max="15626" width="10.6640625" customWidth="1"/>
    <col min="15627" max="15627" width="12" customWidth="1"/>
    <col min="15628" max="15628" width="11.33203125" customWidth="1"/>
    <col min="15629" max="15629" width="9.83203125" bestFit="1" customWidth="1"/>
    <col min="15630" max="15872" width="8.83203125" customWidth="1"/>
    <col min="15873" max="15873" width="20.33203125" customWidth="1"/>
    <col min="15874" max="15874" width="11" customWidth="1"/>
    <col min="15875" max="15875" width="7" customWidth="1"/>
    <col min="15876" max="15876" width="5.5" customWidth="1"/>
    <col min="15877" max="15877" width="10.1640625" customWidth="1"/>
    <col min="15878" max="15878" width="10.33203125" customWidth="1"/>
    <col min="15879" max="15879" width="11.6640625" customWidth="1"/>
    <col min="15880" max="15880" width="10.5" customWidth="1"/>
    <col min="15881" max="15881" width="11.33203125" customWidth="1"/>
    <col min="15882" max="15882" width="10.6640625" customWidth="1"/>
    <col min="15883" max="15883" width="12" customWidth="1"/>
    <col min="15884" max="15884" width="11.33203125" customWidth="1"/>
    <col min="15885" max="15885" width="9.83203125" bestFit="1" customWidth="1"/>
    <col min="15886" max="16128" width="8.83203125" customWidth="1"/>
    <col min="16129" max="16129" width="20.33203125" customWidth="1"/>
    <col min="16130" max="16130" width="11" customWidth="1"/>
    <col min="16131" max="16131" width="7" customWidth="1"/>
    <col min="16132" max="16132" width="5.5" customWidth="1"/>
    <col min="16133" max="16133" width="10.1640625" customWidth="1"/>
    <col min="16134" max="16134" width="10.33203125" customWidth="1"/>
    <col min="16135" max="16135" width="11.6640625" customWidth="1"/>
    <col min="16136" max="16136" width="10.5" customWidth="1"/>
    <col min="16137" max="16137" width="11.33203125" customWidth="1"/>
    <col min="16138" max="16138" width="10.6640625" customWidth="1"/>
    <col min="16139" max="16139" width="12" customWidth="1"/>
    <col min="16140" max="16140" width="11.33203125" customWidth="1"/>
    <col min="16141" max="16141" width="9.83203125" bestFit="1" customWidth="1"/>
    <col min="16142" max="16384" width="8.83203125" customWidth="1"/>
  </cols>
  <sheetData>
    <row r="1" spans="1:13" ht="16">
      <c r="A1" s="722"/>
      <c r="B1" s="729" t="s">
        <v>954</v>
      </c>
      <c r="C1" s="729"/>
      <c r="D1" s="729"/>
      <c r="E1" s="729"/>
      <c r="F1" s="607"/>
      <c r="G1" s="607"/>
      <c r="H1" s="607" t="s">
        <v>955</v>
      </c>
      <c r="I1" s="607"/>
      <c r="J1" s="607"/>
      <c r="K1" s="730"/>
      <c r="L1" s="730"/>
    </row>
    <row r="2" spans="1:13" ht="18">
      <c r="A2" s="722"/>
      <c r="B2" s="607" t="s">
        <v>136</v>
      </c>
      <c r="C2" s="607"/>
      <c r="D2" s="607"/>
      <c r="E2" s="607"/>
      <c r="F2" s="607"/>
      <c r="G2" s="607"/>
      <c r="H2" s="731" t="s">
        <v>956</v>
      </c>
      <c r="I2" s="731"/>
      <c r="J2" s="732"/>
      <c r="K2" s="732"/>
      <c r="L2" s="732"/>
    </row>
    <row r="3" spans="1:13" ht="18" hidden="1">
      <c r="A3" s="733"/>
      <c r="B3" s="730"/>
      <c r="C3" s="730"/>
      <c r="D3" s="730"/>
      <c r="E3" s="730"/>
      <c r="F3" s="734"/>
      <c r="G3" s="734"/>
      <c r="H3" s="732"/>
      <c r="I3" s="732"/>
      <c r="J3" s="732"/>
      <c r="K3" s="732"/>
      <c r="L3" s="732"/>
    </row>
    <row r="4" spans="1:13" ht="23">
      <c r="A4" s="91"/>
      <c r="B4" s="735" t="s">
        <v>1104</v>
      </c>
      <c r="C4" s="735"/>
      <c r="D4" s="736"/>
      <c r="E4" s="736"/>
      <c r="F4" s="736"/>
      <c r="G4" s="737"/>
      <c r="H4" s="737"/>
      <c r="I4" s="737"/>
      <c r="J4" s="737"/>
      <c r="K4" s="738"/>
      <c r="L4" s="1828" t="s">
        <v>1663</v>
      </c>
    </row>
    <row r="5" spans="1:13" ht="21">
      <c r="A5" s="372" t="s">
        <v>1105</v>
      </c>
      <c r="B5" s="739"/>
      <c r="C5" s="739"/>
      <c r="D5" s="739" t="s">
        <v>1106</v>
      </c>
      <c r="E5" s="739"/>
      <c r="F5" s="739"/>
      <c r="G5" s="740"/>
      <c r="H5" s="740"/>
      <c r="I5" s="741"/>
      <c r="J5" s="741"/>
      <c r="K5" s="742"/>
      <c r="L5" s="742"/>
    </row>
    <row r="6" spans="1:13" ht="16">
      <c r="D6" s="743"/>
      <c r="E6" s="744"/>
      <c r="F6" s="744"/>
      <c r="G6" s="744"/>
      <c r="H6" s="744"/>
      <c r="I6" s="744"/>
      <c r="J6" s="744"/>
      <c r="K6" s="1"/>
    </row>
    <row r="7" spans="1:13" hidden="1">
      <c r="E7" s="1"/>
      <c r="F7" s="1"/>
      <c r="G7" s="1"/>
      <c r="H7" s="1"/>
      <c r="I7" s="1"/>
      <c r="J7" s="1"/>
      <c r="K7" s="1"/>
    </row>
    <row r="8" spans="1:13" ht="39">
      <c r="A8" s="693" t="s">
        <v>1067</v>
      </c>
      <c r="B8" s="694" t="s">
        <v>1068</v>
      </c>
      <c r="C8" s="694" t="s">
        <v>1069</v>
      </c>
      <c r="D8" s="694" t="s">
        <v>1070</v>
      </c>
      <c r="E8" s="695" t="s">
        <v>1071</v>
      </c>
      <c r="F8" s="695" t="s">
        <v>1072</v>
      </c>
      <c r="G8" s="695" t="s">
        <v>1073</v>
      </c>
      <c r="H8" s="695" t="s">
        <v>1074</v>
      </c>
      <c r="I8" s="695" t="s">
        <v>1075</v>
      </c>
      <c r="J8" s="695" t="s">
        <v>1076</v>
      </c>
      <c r="K8" s="696" t="s">
        <v>1077</v>
      </c>
      <c r="L8" s="695" t="s">
        <v>1078</v>
      </c>
    </row>
    <row r="9" spans="1:13">
      <c r="A9" s="697"/>
      <c r="B9" s="698"/>
      <c r="C9" s="699"/>
      <c r="D9" s="700"/>
      <c r="E9" s="701" t="s">
        <v>1079</v>
      </c>
      <c r="F9" s="702" t="s">
        <v>1080</v>
      </c>
      <c r="G9" s="702" t="s">
        <v>1081</v>
      </c>
      <c r="H9" s="702" t="s">
        <v>1082</v>
      </c>
      <c r="I9" s="702" t="s">
        <v>1083</v>
      </c>
      <c r="J9" s="702" t="s">
        <v>1084</v>
      </c>
      <c r="K9" s="703" t="s">
        <v>1085</v>
      </c>
      <c r="L9" s="704"/>
    </row>
    <row r="10" spans="1:13" ht="14">
      <c r="A10" s="2033" t="s">
        <v>1053</v>
      </c>
      <c r="B10" s="705" t="s">
        <v>1086</v>
      </c>
      <c r="C10" s="706">
        <v>20</v>
      </c>
      <c r="D10" s="707">
        <v>2</v>
      </c>
      <c r="E10" s="708">
        <v>900000</v>
      </c>
      <c r="F10" s="708">
        <v>200000</v>
      </c>
      <c r="G10" s="709">
        <v>1200000</v>
      </c>
      <c r="H10" s="710">
        <v>1000000</v>
      </c>
      <c r="I10" s="708">
        <v>320000</v>
      </c>
      <c r="J10" s="709">
        <v>1200000</v>
      </c>
      <c r="K10" s="708">
        <v>700000</v>
      </c>
      <c r="L10" s="711">
        <f>SUM(E10:K10)</f>
        <v>5520000</v>
      </c>
    </row>
    <row r="11" spans="1:13" ht="14">
      <c r="A11" s="2033"/>
      <c r="B11" s="705" t="s">
        <v>1087</v>
      </c>
      <c r="C11" s="706">
        <v>20</v>
      </c>
      <c r="D11" s="707">
        <v>2</v>
      </c>
      <c r="E11" s="708"/>
      <c r="F11" s="708">
        <v>200000</v>
      </c>
      <c r="G11" s="709">
        <v>1200000</v>
      </c>
      <c r="H11" s="710">
        <v>1000000</v>
      </c>
      <c r="I11" s="708">
        <v>320000</v>
      </c>
      <c r="J11" s="709">
        <v>1200000</v>
      </c>
      <c r="K11" s="712"/>
      <c r="L11" s="713">
        <f>SUM(F11:J11)</f>
        <v>3920000</v>
      </c>
      <c r="M11" s="745"/>
    </row>
    <row r="12" spans="1:13" ht="14">
      <c r="A12" s="2032" t="s">
        <v>1054</v>
      </c>
      <c r="B12" s="705" t="s">
        <v>1088</v>
      </c>
      <c r="C12" s="706">
        <v>20</v>
      </c>
      <c r="D12" s="707">
        <v>2</v>
      </c>
      <c r="E12" s="708">
        <v>900000</v>
      </c>
      <c r="F12" s="708">
        <v>200000</v>
      </c>
      <c r="G12" s="709">
        <v>1200000</v>
      </c>
      <c r="H12" s="710">
        <v>1000000</v>
      </c>
      <c r="I12" s="708">
        <v>320000</v>
      </c>
      <c r="J12" s="709">
        <v>1200000</v>
      </c>
      <c r="K12" s="708">
        <v>700000</v>
      </c>
      <c r="L12" s="711">
        <f>SUM(E12:K12)</f>
        <v>5520000</v>
      </c>
    </row>
    <row r="13" spans="1:13" ht="14">
      <c r="A13" s="2032"/>
      <c r="B13" s="705" t="s">
        <v>1089</v>
      </c>
      <c r="C13" s="706">
        <v>20</v>
      </c>
      <c r="D13" s="707">
        <v>2</v>
      </c>
      <c r="E13" s="708"/>
      <c r="F13" s="708">
        <v>200000</v>
      </c>
      <c r="G13" s="709">
        <v>1200000</v>
      </c>
      <c r="H13" s="710">
        <v>1000000</v>
      </c>
      <c r="I13" s="708">
        <v>320000</v>
      </c>
      <c r="J13" s="709">
        <v>1200000</v>
      </c>
      <c r="K13" s="712"/>
      <c r="L13" s="713">
        <f>SUM(F13:J13)</f>
        <v>3920000</v>
      </c>
      <c r="M13" s="745"/>
    </row>
    <row r="14" spans="1:13" ht="14">
      <c r="A14" s="2032" t="s">
        <v>1090</v>
      </c>
      <c r="B14" s="705" t="s">
        <v>1088</v>
      </c>
      <c r="C14" s="706">
        <v>20</v>
      </c>
      <c r="D14" s="707">
        <v>2</v>
      </c>
      <c r="E14" s="708">
        <v>900000</v>
      </c>
      <c r="F14" s="708">
        <v>200000</v>
      </c>
      <c r="G14" s="709">
        <v>1200000</v>
      </c>
      <c r="H14" s="710">
        <v>1000000</v>
      </c>
      <c r="I14" s="708">
        <v>320000</v>
      </c>
      <c r="J14" s="709">
        <v>1200000</v>
      </c>
      <c r="K14" s="708">
        <v>700000</v>
      </c>
      <c r="L14" s="711">
        <f>SUM(E14:K14)</f>
        <v>5520000</v>
      </c>
      <c r="M14" s="745"/>
    </row>
    <row r="15" spans="1:13" ht="14">
      <c r="A15" s="2032"/>
      <c r="B15" s="705" t="s">
        <v>1089</v>
      </c>
      <c r="C15" s="706">
        <v>20</v>
      </c>
      <c r="D15" s="707">
        <v>2</v>
      </c>
      <c r="E15" s="708"/>
      <c r="F15" s="708">
        <v>200000</v>
      </c>
      <c r="G15" s="709">
        <v>1200000</v>
      </c>
      <c r="H15" s="710">
        <v>1000000</v>
      </c>
      <c r="I15" s="708">
        <v>320000</v>
      </c>
      <c r="J15" s="709">
        <v>1200000</v>
      </c>
      <c r="K15" s="712"/>
      <c r="L15" s="713">
        <f>SUM(F15:J15)</f>
        <v>3920000</v>
      </c>
      <c r="M15" s="745"/>
    </row>
    <row r="16" spans="1:13" ht="14">
      <c r="A16" s="2032" t="s">
        <v>1091</v>
      </c>
      <c r="B16" s="705" t="s">
        <v>1088</v>
      </c>
      <c r="C16" s="706">
        <v>20</v>
      </c>
      <c r="D16" s="707">
        <v>2</v>
      </c>
      <c r="E16" s="708">
        <v>900000</v>
      </c>
      <c r="F16" s="708">
        <v>200000</v>
      </c>
      <c r="G16" s="709">
        <v>1200000</v>
      </c>
      <c r="H16" s="710">
        <v>1000000</v>
      </c>
      <c r="I16" s="708">
        <v>320000</v>
      </c>
      <c r="J16" s="709">
        <v>1200000</v>
      </c>
      <c r="K16" s="708">
        <v>700000</v>
      </c>
      <c r="L16" s="711">
        <f>SUM(E16:K16)</f>
        <v>5520000</v>
      </c>
      <c r="M16" s="745"/>
    </row>
    <row r="17" spans="1:13" ht="14">
      <c r="A17" s="2032"/>
      <c r="B17" s="705" t="s">
        <v>1089</v>
      </c>
      <c r="C17" s="706">
        <v>20</v>
      </c>
      <c r="D17" s="707">
        <v>2</v>
      </c>
      <c r="E17" s="708"/>
      <c r="F17" s="708">
        <v>200000</v>
      </c>
      <c r="G17" s="709">
        <v>1200000</v>
      </c>
      <c r="H17" s="710">
        <v>1000000</v>
      </c>
      <c r="I17" s="708">
        <v>320000</v>
      </c>
      <c r="J17" s="709">
        <v>1200000</v>
      </c>
      <c r="K17" s="712"/>
      <c r="L17" s="713">
        <f>SUM(F17:J17)</f>
        <v>3920000</v>
      </c>
      <c r="M17" s="745"/>
    </row>
    <row r="18" spans="1:13" ht="16">
      <c r="A18" s="714" t="s">
        <v>1056</v>
      </c>
      <c r="B18" s="705" t="s">
        <v>1092</v>
      </c>
      <c r="C18" s="706">
        <v>20</v>
      </c>
      <c r="D18" s="707">
        <v>2</v>
      </c>
      <c r="E18" s="708">
        <v>900000</v>
      </c>
      <c r="F18" s="708">
        <v>200000</v>
      </c>
      <c r="G18" s="709">
        <v>1200000</v>
      </c>
      <c r="H18" s="710">
        <v>1000000</v>
      </c>
      <c r="I18" s="708">
        <v>320000</v>
      </c>
      <c r="J18" s="709">
        <v>1200000</v>
      </c>
      <c r="K18" s="708">
        <v>700000</v>
      </c>
      <c r="L18" s="715">
        <f>SUM(E18:K18)</f>
        <v>5520000</v>
      </c>
    </row>
    <row r="19" spans="1:13" ht="16">
      <c r="A19" s="714"/>
      <c r="B19" s="705" t="s">
        <v>1093</v>
      </c>
      <c r="C19" s="706">
        <v>20</v>
      </c>
      <c r="D19" s="707">
        <v>2</v>
      </c>
      <c r="E19" s="708"/>
      <c r="F19" s="708">
        <v>200000</v>
      </c>
      <c r="G19" s="709">
        <v>1200000</v>
      </c>
      <c r="H19" s="710">
        <v>1000000</v>
      </c>
      <c r="I19" s="708">
        <v>320000</v>
      </c>
      <c r="J19" s="709">
        <v>1200000</v>
      </c>
      <c r="K19" s="712"/>
      <c r="L19" s="711">
        <f>SUM(F19:J19)</f>
        <v>3920000</v>
      </c>
      <c r="M19" s="745"/>
    </row>
    <row r="20" spans="1:13" ht="14">
      <c r="A20" s="2033" t="s">
        <v>1058</v>
      </c>
      <c r="B20" s="716" t="s">
        <v>1094</v>
      </c>
      <c r="C20" s="706">
        <v>22</v>
      </c>
      <c r="D20" s="707">
        <v>2</v>
      </c>
      <c r="E20" s="708">
        <v>900000</v>
      </c>
      <c r="F20" s="708">
        <v>200000</v>
      </c>
      <c r="G20" s="709">
        <v>1320000</v>
      </c>
      <c r="H20" s="710">
        <v>1200000</v>
      </c>
      <c r="I20" s="708">
        <v>640000</v>
      </c>
      <c r="J20" s="709">
        <v>1320000</v>
      </c>
      <c r="K20" s="708">
        <v>700000</v>
      </c>
      <c r="L20" s="711">
        <f>SUM(E20:K20)</f>
        <v>6280000</v>
      </c>
    </row>
    <row r="21" spans="1:13" ht="14">
      <c r="A21" s="2033"/>
      <c r="B21" s="705" t="s">
        <v>1095</v>
      </c>
      <c r="C21" s="706">
        <v>23</v>
      </c>
      <c r="D21" s="707">
        <v>2</v>
      </c>
      <c r="E21" s="717"/>
      <c r="F21" s="708">
        <v>200000</v>
      </c>
      <c r="G21" s="708">
        <v>1380000</v>
      </c>
      <c r="H21" s="710">
        <v>1200000</v>
      </c>
      <c r="I21" s="708">
        <v>640000</v>
      </c>
      <c r="J21" s="708">
        <v>1380000</v>
      </c>
      <c r="L21" s="713">
        <f>SUM(F21:J21)</f>
        <v>4800000</v>
      </c>
      <c r="M21" s="745"/>
    </row>
    <row r="22" spans="1:13" ht="14">
      <c r="A22" s="2033" t="s">
        <v>1059</v>
      </c>
      <c r="B22" s="705" t="s">
        <v>1096</v>
      </c>
      <c r="C22" s="706">
        <v>22</v>
      </c>
      <c r="D22" s="707">
        <v>2</v>
      </c>
      <c r="E22" s="708">
        <v>900000</v>
      </c>
      <c r="F22" s="708">
        <v>200000</v>
      </c>
      <c r="G22" s="718">
        <v>1320000</v>
      </c>
      <c r="H22" s="710">
        <v>1200000</v>
      </c>
      <c r="I22" s="708">
        <v>640000</v>
      </c>
      <c r="J22" s="718">
        <v>1320000</v>
      </c>
      <c r="K22" s="708">
        <v>700000</v>
      </c>
      <c r="L22" s="711">
        <f>SUM(E22:K22)</f>
        <v>6280000</v>
      </c>
    </row>
    <row r="23" spans="1:13" ht="14">
      <c r="A23" s="2033"/>
      <c r="B23" s="705" t="s">
        <v>1097</v>
      </c>
      <c r="C23" s="706">
        <v>23</v>
      </c>
      <c r="D23" s="707">
        <v>2</v>
      </c>
      <c r="F23" s="708">
        <v>200000</v>
      </c>
      <c r="G23" s="708">
        <v>1380000</v>
      </c>
      <c r="H23" s="710">
        <v>1200000</v>
      </c>
      <c r="I23" s="708">
        <v>640000</v>
      </c>
      <c r="J23" s="708">
        <v>1380000</v>
      </c>
      <c r="L23" s="711">
        <f>SUM(E23:K23)</f>
        <v>4800000</v>
      </c>
      <c r="M23" s="745"/>
    </row>
    <row r="24" spans="1:13" ht="14">
      <c r="A24" s="2033" t="s">
        <v>1060</v>
      </c>
      <c r="B24" s="705" t="s">
        <v>1098</v>
      </c>
      <c r="C24" s="706">
        <v>22</v>
      </c>
      <c r="D24" s="707">
        <v>2</v>
      </c>
      <c r="E24" s="708">
        <v>900000</v>
      </c>
      <c r="F24" s="708">
        <v>200000</v>
      </c>
      <c r="G24" s="718">
        <v>1320000</v>
      </c>
      <c r="H24" s="710">
        <v>1200000</v>
      </c>
      <c r="I24" s="708">
        <v>640000</v>
      </c>
      <c r="J24" s="718">
        <v>1320000</v>
      </c>
      <c r="K24" s="708">
        <v>700000</v>
      </c>
      <c r="L24" s="711">
        <f>SUM(E24:K24)</f>
        <v>6280000</v>
      </c>
      <c r="M24" s="745"/>
    </row>
    <row r="25" spans="1:13" ht="14">
      <c r="A25" s="2033"/>
      <c r="B25" s="705" t="s">
        <v>1099</v>
      </c>
      <c r="C25" s="706">
        <v>23</v>
      </c>
      <c r="D25" s="707">
        <v>2</v>
      </c>
      <c r="E25" s="717"/>
      <c r="F25" s="708">
        <v>200000</v>
      </c>
      <c r="G25" s="708">
        <v>1380000</v>
      </c>
      <c r="H25" s="710">
        <v>1200000</v>
      </c>
      <c r="I25" s="708">
        <v>640000</v>
      </c>
      <c r="J25" s="708">
        <v>1380000</v>
      </c>
      <c r="K25" s="712"/>
      <c r="L25" s="713">
        <f>SUM(F25:J25)</f>
        <v>4800000</v>
      </c>
    </row>
    <row r="26" spans="1:13" ht="16">
      <c r="A26" s="714" t="s">
        <v>1061</v>
      </c>
      <c r="B26" s="705" t="s">
        <v>1100</v>
      </c>
      <c r="C26" s="706">
        <v>22</v>
      </c>
      <c r="D26" s="707">
        <v>2</v>
      </c>
      <c r="E26" s="708">
        <v>900000</v>
      </c>
      <c r="F26" s="708">
        <v>200000</v>
      </c>
      <c r="G26" s="718">
        <v>1320000</v>
      </c>
      <c r="H26" s="710">
        <v>1200000</v>
      </c>
      <c r="I26" s="708">
        <v>640000</v>
      </c>
      <c r="J26" s="718">
        <v>1320000</v>
      </c>
      <c r="K26" s="708">
        <v>700000</v>
      </c>
      <c r="L26" s="711">
        <f>SUM(E26:K26)</f>
        <v>6280000</v>
      </c>
    </row>
    <row r="27" spans="1:13" ht="14">
      <c r="A27" s="719"/>
      <c r="B27" s="705" t="s">
        <v>1101</v>
      </c>
      <c r="C27" s="706">
        <v>23</v>
      </c>
      <c r="D27" s="707">
        <v>2</v>
      </c>
      <c r="E27" s="717"/>
      <c r="F27" s="708">
        <v>200000</v>
      </c>
      <c r="G27" s="708">
        <v>1380000</v>
      </c>
      <c r="H27" s="710">
        <v>1200000</v>
      </c>
      <c r="I27" s="708">
        <v>640000</v>
      </c>
      <c r="J27" s="708">
        <v>1380000</v>
      </c>
      <c r="K27" s="712"/>
      <c r="L27" s="713">
        <f>SUM(F27:J27)</f>
        <v>4800000</v>
      </c>
      <c r="M27" s="745"/>
    </row>
    <row r="28" spans="1:13" ht="16">
      <c r="A28" s="720" t="s">
        <v>350</v>
      </c>
      <c r="B28" s="699"/>
      <c r="C28" s="721">
        <v>380</v>
      </c>
      <c r="D28" s="721">
        <v>36</v>
      </c>
      <c r="E28" s="683">
        <v>8100000</v>
      </c>
      <c r="F28" s="683">
        <v>3600000</v>
      </c>
      <c r="G28" s="683">
        <v>22800000</v>
      </c>
      <c r="H28" s="683">
        <v>19600000</v>
      </c>
      <c r="I28" s="683">
        <v>8320000</v>
      </c>
      <c r="J28" s="683">
        <v>22800000</v>
      </c>
      <c r="K28" s="683">
        <v>6300000</v>
      </c>
      <c r="L28" s="682">
        <v>91520000</v>
      </c>
    </row>
    <row r="29" spans="1:13" ht="16">
      <c r="A29" s="609"/>
      <c r="B29" s="608"/>
      <c r="C29" s="684"/>
      <c r="D29" s="684"/>
      <c r="E29" s="684"/>
      <c r="F29" s="685"/>
      <c r="G29" s="686"/>
      <c r="H29" s="685"/>
      <c r="I29" s="2031" t="s">
        <v>1102</v>
      </c>
      <c r="J29" s="2031"/>
    </row>
    <row r="30" spans="1:13" ht="18">
      <c r="A30" s="722" t="s">
        <v>1103</v>
      </c>
      <c r="B30" s="723"/>
      <c r="C30" s="724"/>
      <c r="D30" s="725"/>
      <c r="E30" s="726"/>
      <c r="F30" s="727"/>
      <c r="G30" s="726"/>
      <c r="H30" s="726"/>
      <c r="I30" s="728"/>
      <c r="J30" s="1"/>
      <c r="K30" s="1"/>
      <c r="L30" s="1"/>
    </row>
    <row r="31" spans="1:13" ht="16">
      <c r="A31" s="33"/>
      <c r="B31" s="609"/>
      <c r="C31" s="33"/>
      <c r="D31" s="33"/>
      <c r="E31" s="33"/>
      <c r="F31" s="33"/>
      <c r="G31" s="686"/>
      <c r="H31" s="33"/>
      <c r="I31" s="33"/>
      <c r="J31" s="33"/>
    </row>
    <row r="32" spans="1:13" ht="16">
      <c r="A32" s="33"/>
      <c r="B32" s="609"/>
      <c r="C32" s="33"/>
      <c r="D32" s="33"/>
      <c r="E32" s="33"/>
      <c r="F32" s="33"/>
      <c r="G32" s="686"/>
      <c r="H32" s="33"/>
      <c r="I32" s="33"/>
      <c r="J32" s="33"/>
    </row>
    <row r="33" spans="1:10" ht="16">
      <c r="A33" s="33"/>
      <c r="B33" s="609"/>
      <c r="C33" s="33"/>
      <c r="D33" s="33"/>
      <c r="E33" s="33"/>
      <c r="F33" s="33"/>
      <c r="G33" s="686"/>
      <c r="H33" s="33"/>
      <c r="I33" s="33"/>
      <c r="J33" s="33"/>
    </row>
    <row r="34" spans="1:10" ht="16">
      <c r="A34" s="33"/>
      <c r="B34" s="609"/>
      <c r="C34" s="33"/>
      <c r="D34" s="33"/>
      <c r="E34" s="33"/>
      <c r="F34" s="33"/>
      <c r="G34" s="686"/>
      <c r="H34" s="33"/>
      <c r="I34" s="33"/>
      <c r="J34" s="33"/>
    </row>
    <row r="35" spans="1:10" ht="16">
      <c r="A35" s="680"/>
      <c r="B35" s="609"/>
      <c r="C35" s="690"/>
      <c r="D35" s="690"/>
      <c r="E35" s="691"/>
      <c r="F35" s="691"/>
      <c r="G35" s="692"/>
      <c r="H35" s="691"/>
      <c r="I35" s="680"/>
      <c r="J35" s="680"/>
    </row>
    <row r="36" spans="1:10" ht="16">
      <c r="A36" s="680"/>
      <c r="B36" s="680"/>
      <c r="C36" s="690"/>
      <c r="D36" s="690"/>
      <c r="E36" s="691"/>
      <c r="F36" s="691"/>
      <c r="G36" s="692"/>
      <c r="H36" s="691"/>
      <c r="I36" s="680"/>
      <c r="J36" s="680"/>
    </row>
  </sheetData>
  <mergeCells count="8">
    <mergeCell ref="I29:J29"/>
    <mergeCell ref="A16:A17"/>
    <mergeCell ref="A10:A11"/>
    <mergeCell ref="A20:A21"/>
    <mergeCell ref="A22:A23"/>
    <mergeCell ref="A24:A25"/>
    <mergeCell ref="A12:A13"/>
    <mergeCell ref="A14:A15"/>
  </mergeCells>
  <pageMargins left="0.7" right="0.44" top="0.89" bottom="0.75" header="0.3" footer="0.3"/>
  <pageSetup paperSize="9" scale="9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42"/>
  <sheetViews>
    <sheetView view="pageBreakPreview" zoomScale="115" zoomScaleNormal="100" zoomScaleSheetLayoutView="115" workbookViewId="0">
      <selection activeCell="G3" sqref="G3"/>
    </sheetView>
  </sheetViews>
  <sheetFormatPr baseColWidth="10" defaultColWidth="10.83203125" defaultRowHeight="13"/>
  <cols>
    <col min="1" max="1" width="5.6640625" customWidth="1"/>
    <col min="2" max="2" width="36.5" customWidth="1"/>
    <col min="3" max="4" width="9.1640625" customWidth="1"/>
    <col min="5" max="5" width="11.5" customWidth="1"/>
    <col min="6" max="6" width="17" customWidth="1"/>
    <col min="7" max="7" width="43.5" customWidth="1"/>
    <col min="8" max="256" width="8.83203125" customWidth="1"/>
    <col min="257" max="257" width="5.6640625" customWidth="1"/>
    <col min="258" max="258" width="34.5" customWidth="1"/>
    <col min="259" max="260" width="9.1640625" customWidth="1"/>
    <col min="261" max="261" width="11.5" customWidth="1"/>
    <col min="262" max="262" width="14.6640625" customWidth="1"/>
    <col min="263" max="263" width="41.83203125" customWidth="1"/>
    <col min="264" max="512" width="8.83203125" customWidth="1"/>
    <col min="513" max="513" width="5.6640625" customWidth="1"/>
    <col min="514" max="514" width="34.5" customWidth="1"/>
    <col min="515" max="516" width="9.1640625" customWidth="1"/>
    <col min="517" max="517" width="11.5" customWidth="1"/>
    <col min="518" max="518" width="14.6640625" customWidth="1"/>
    <col min="519" max="519" width="41.83203125" customWidth="1"/>
    <col min="520" max="768" width="8.83203125" customWidth="1"/>
    <col min="769" max="769" width="5.6640625" customWidth="1"/>
    <col min="770" max="770" width="34.5" customWidth="1"/>
    <col min="771" max="772" width="9.1640625" customWidth="1"/>
    <col min="773" max="773" width="11.5" customWidth="1"/>
    <col min="774" max="774" width="14.6640625" customWidth="1"/>
    <col min="775" max="775" width="41.83203125" customWidth="1"/>
    <col min="776" max="1024" width="8.83203125" customWidth="1"/>
    <col min="1025" max="1025" width="5.6640625" customWidth="1"/>
    <col min="1026" max="1026" width="34.5" customWidth="1"/>
    <col min="1027" max="1028" width="9.1640625" customWidth="1"/>
    <col min="1029" max="1029" width="11.5" customWidth="1"/>
    <col min="1030" max="1030" width="14.6640625" customWidth="1"/>
    <col min="1031" max="1031" width="41.83203125" customWidth="1"/>
    <col min="1032" max="1280" width="8.83203125" customWidth="1"/>
    <col min="1281" max="1281" width="5.6640625" customWidth="1"/>
    <col min="1282" max="1282" width="34.5" customWidth="1"/>
    <col min="1283" max="1284" width="9.1640625" customWidth="1"/>
    <col min="1285" max="1285" width="11.5" customWidth="1"/>
    <col min="1286" max="1286" width="14.6640625" customWidth="1"/>
    <col min="1287" max="1287" width="41.83203125" customWidth="1"/>
    <col min="1288" max="1536" width="8.83203125" customWidth="1"/>
    <col min="1537" max="1537" width="5.6640625" customWidth="1"/>
    <col min="1538" max="1538" width="34.5" customWidth="1"/>
    <col min="1539" max="1540" width="9.1640625" customWidth="1"/>
    <col min="1541" max="1541" width="11.5" customWidth="1"/>
    <col min="1542" max="1542" width="14.6640625" customWidth="1"/>
    <col min="1543" max="1543" width="41.83203125" customWidth="1"/>
    <col min="1544" max="1792" width="8.83203125" customWidth="1"/>
    <col min="1793" max="1793" width="5.6640625" customWidth="1"/>
    <col min="1794" max="1794" width="34.5" customWidth="1"/>
    <col min="1795" max="1796" width="9.1640625" customWidth="1"/>
    <col min="1797" max="1797" width="11.5" customWidth="1"/>
    <col min="1798" max="1798" width="14.6640625" customWidth="1"/>
    <col min="1799" max="1799" width="41.83203125" customWidth="1"/>
    <col min="1800" max="2048" width="8.83203125" customWidth="1"/>
    <col min="2049" max="2049" width="5.6640625" customWidth="1"/>
    <col min="2050" max="2050" width="34.5" customWidth="1"/>
    <col min="2051" max="2052" width="9.1640625" customWidth="1"/>
    <col min="2053" max="2053" width="11.5" customWidth="1"/>
    <col min="2054" max="2054" width="14.6640625" customWidth="1"/>
    <col min="2055" max="2055" width="41.83203125" customWidth="1"/>
    <col min="2056" max="2304" width="8.83203125" customWidth="1"/>
    <col min="2305" max="2305" width="5.6640625" customWidth="1"/>
    <col min="2306" max="2306" width="34.5" customWidth="1"/>
    <col min="2307" max="2308" width="9.1640625" customWidth="1"/>
    <col min="2309" max="2309" width="11.5" customWidth="1"/>
    <col min="2310" max="2310" width="14.6640625" customWidth="1"/>
    <col min="2311" max="2311" width="41.83203125" customWidth="1"/>
    <col min="2312" max="2560" width="8.83203125" customWidth="1"/>
    <col min="2561" max="2561" width="5.6640625" customWidth="1"/>
    <col min="2562" max="2562" width="34.5" customWidth="1"/>
    <col min="2563" max="2564" width="9.1640625" customWidth="1"/>
    <col min="2565" max="2565" width="11.5" customWidth="1"/>
    <col min="2566" max="2566" width="14.6640625" customWidth="1"/>
    <col min="2567" max="2567" width="41.83203125" customWidth="1"/>
    <col min="2568" max="2816" width="8.83203125" customWidth="1"/>
    <col min="2817" max="2817" width="5.6640625" customWidth="1"/>
    <col min="2818" max="2818" width="34.5" customWidth="1"/>
    <col min="2819" max="2820" width="9.1640625" customWidth="1"/>
    <col min="2821" max="2821" width="11.5" customWidth="1"/>
    <col min="2822" max="2822" width="14.6640625" customWidth="1"/>
    <col min="2823" max="2823" width="41.83203125" customWidth="1"/>
    <col min="2824" max="3072" width="8.83203125" customWidth="1"/>
    <col min="3073" max="3073" width="5.6640625" customWidth="1"/>
    <col min="3074" max="3074" width="34.5" customWidth="1"/>
    <col min="3075" max="3076" width="9.1640625" customWidth="1"/>
    <col min="3077" max="3077" width="11.5" customWidth="1"/>
    <col min="3078" max="3078" width="14.6640625" customWidth="1"/>
    <col min="3079" max="3079" width="41.83203125" customWidth="1"/>
    <col min="3080" max="3328" width="8.83203125" customWidth="1"/>
    <col min="3329" max="3329" width="5.6640625" customWidth="1"/>
    <col min="3330" max="3330" width="34.5" customWidth="1"/>
    <col min="3331" max="3332" width="9.1640625" customWidth="1"/>
    <col min="3333" max="3333" width="11.5" customWidth="1"/>
    <col min="3334" max="3334" width="14.6640625" customWidth="1"/>
    <col min="3335" max="3335" width="41.83203125" customWidth="1"/>
    <col min="3336" max="3584" width="8.83203125" customWidth="1"/>
    <col min="3585" max="3585" width="5.6640625" customWidth="1"/>
    <col min="3586" max="3586" width="34.5" customWidth="1"/>
    <col min="3587" max="3588" width="9.1640625" customWidth="1"/>
    <col min="3589" max="3589" width="11.5" customWidth="1"/>
    <col min="3590" max="3590" width="14.6640625" customWidth="1"/>
    <col min="3591" max="3591" width="41.83203125" customWidth="1"/>
    <col min="3592" max="3840" width="8.83203125" customWidth="1"/>
    <col min="3841" max="3841" width="5.6640625" customWidth="1"/>
    <col min="3842" max="3842" width="34.5" customWidth="1"/>
    <col min="3843" max="3844" width="9.1640625" customWidth="1"/>
    <col min="3845" max="3845" width="11.5" customWidth="1"/>
    <col min="3846" max="3846" width="14.6640625" customWidth="1"/>
    <col min="3847" max="3847" width="41.83203125" customWidth="1"/>
    <col min="3848" max="4096" width="8.83203125" customWidth="1"/>
    <col min="4097" max="4097" width="5.6640625" customWidth="1"/>
    <col min="4098" max="4098" width="34.5" customWidth="1"/>
    <col min="4099" max="4100" width="9.1640625" customWidth="1"/>
    <col min="4101" max="4101" width="11.5" customWidth="1"/>
    <col min="4102" max="4102" width="14.6640625" customWidth="1"/>
    <col min="4103" max="4103" width="41.83203125" customWidth="1"/>
    <col min="4104" max="4352" width="8.83203125" customWidth="1"/>
    <col min="4353" max="4353" width="5.6640625" customWidth="1"/>
    <col min="4354" max="4354" width="34.5" customWidth="1"/>
    <col min="4355" max="4356" width="9.1640625" customWidth="1"/>
    <col min="4357" max="4357" width="11.5" customWidth="1"/>
    <col min="4358" max="4358" width="14.6640625" customWidth="1"/>
    <col min="4359" max="4359" width="41.83203125" customWidth="1"/>
    <col min="4360" max="4608" width="8.83203125" customWidth="1"/>
    <col min="4609" max="4609" width="5.6640625" customWidth="1"/>
    <col min="4610" max="4610" width="34.5" customWidth="1"/>
    <col min="4611" max="4612" width="9.1640625" customWidth="1"/>
    <col min="4613" max="4613" width="11.5" customWidth="1"/>
    <col min="4614" max="4614" width="14.6640625" customWidth="1"/>
    <col min="4615" max="4615" width="41.83203125" customWidth="1"/>
    <col min="4616" max="4864" width="8.83203125" customWidth="1"/>
    <col min="4865" max="4865" width="5.6640625" customWidth="1"/>
    <col min="4866" max="4866" width="34.5" customWidth="1"/>
    <col min="4867" max="4868" width="9.1640625" customWidth="1"/>
    <col min="4869" max="4869" width="11.5" customWidth="1"/>
    <col min="4870" max="4870" width="14.6640625" customWidth="1"/>
    <col min="4871" max="4871" width="41.83203125" customWidth="1"/>
    <col min="4872" max="5120" width="8.83203125" customWidth="1"/>
    <col min="5121" max="5121" width="5.6640625" customWidth="1"/>
    <col min="5122" max="5122" width="34.5" customWidth="1"/>
    <col min="5123" max="5124" width="9.1640625" customWidth="1"/>
    <col min="5125" max="5125" width="11.5" customWidth="1"/>
    <col min="5126" max="5126" width="14.6640625" customWidth="1"/>
    <col min="5127" max="5127" width="41.83203125" customWidth="1"/>
    <col min="5128" max="5376" width="8.83203125" customWidth="1"/>
    <col min="5377" max="5377" width="5.6640625" customWidth="1"/>
    <col min="5378" max="5378" width="34.5" customWidth="1"/>
    <col min="5379" max="5380" width="9.1640625" customWidth="1"/>
    <col min="5381" max="5381" width="11.5" customWidth="1"/>
    <col min="5382" max="5382" width="14.6640625" customWidth="1"/>
    <col min="5383" max="5383" width="41.83203125" customWidth="1"/>
    <col min="5384" max="5632" width="8.83203125" customWidth="1"/>
    <col min="5633" max="5633" width="5.6640625" customWidth="1"/>
    <col min="5634" max="5634" width="34.5" customWidth="1"/>
    <col min="5635" max="5636" width="9.1640625" customWidth="1"/>
    <col min="5637" max="5637" width="11.5" customWidth="1"/>
    <col min="5638" max="5638" width="14.6640625" customWidth="1"/>
    <col min="5639" max="5639" width="41.83203125" customWidth="1"/>
    <col min="5640" max="5888" width="8.83203125" customWidth="1"/>
    <col min="5889" max="5889" width="5.6640625" customWidth="1"/>
    <col min="5890" max="5890" width="34.5" customWidth="1"/>
    <col min="5891" max="5892" width="9.1640625" customWidth="1"/>
    <col min="5893" max="5893" width="11.5" customWidth="1"/>
    <col min="5894" max="5894" width="14.6640625" customWidth="1"/>
    <col min="5895" max="5895" width="41.83203125" customWidth="1"/>
    <col min="5896" max="6144" width="8.83203125" customWidth="1"/>
    <col min="6145" max="6145" width="5.6640625" customWidth="1"/>
    <col min="6146" max="6146" width="34.5" customWidth="1"/>
    <col min="6147" max="6148" width="9.1640625" customWidth="1"/>
    <col min="6149" max="6149" width="11.5" customWidth="1"/>
    <col min="6150" max="6150" width="14.6640625" customWidth="1"/>
    <col min="6151" max="6151" width="41.83203125" customWidth="1"/>
    <col min="6152" max="6400" width="8.83203125" customWidth="1"/>
    <col min="6401" max="6401" width="5.6640625" customWidth="1"/>
    <col min="6402" max="6402" width="34.5" customWidth="1"/>
    <col min="6403" max="6404" width="9.1640625" customWidth="1"/>
    <col min="6405" max="6405" width="11.5" customWidth="1"/>
    <col min="6406" max="6406" width="14.6640625" customWidth="1"/>
    <col min="6407" max="6407" width="41.83203125" customWidth="1"/>
    <col min="6408" max="6656" width="8.83203125" customWidth="1"/>
    <col min="6657" max="6657" width="5.6640625" customWidth="1"/>
    <col min="6658" max="6658" width="34.5" customWidth="1"/>
    <col min="6659" max="6660" width="9.1640625" customWidth="1"/>
    <col min="6661" max="6661" width="11.5" customWidth="1"/>
    <col min="6662" max="6662" width="14.6640625" customWidth="1"/>
    <col min="6663" max="6663" width="41.83203125" customWidth="1"/>
    <col min="6664" max="6912" width="8.83203125" customWidth="1"/>
    <col min="6913" max="6913" width="5.6640625" customWidth="1"/>
    <col min="6914" max="6914" width="34.5" customWidth="1"/>
    <col min="6915" max="6916" width="9.1640625" customWidth="1"/>
    <col min="6917" max="6917" width="11.5" customWidth="1"/>
    <col min="6918" max="6918" width="14.6640625" customWidth="1"/>
    <col min="6919" max="6919" width="41.83203125" customWidth="1"/>
    <col min="6920" max="7168" width="8.83203125" customWidth="1"/>
    <col min="7169" max="7169" width="5.6640625" customWidth="1"/>
    <col min="7170" max="7170" width="34.5" customWidth="1"/>
    <col min="7171" max="7172" width="9.1640625" customWidth="1"/>
    <col min="7173" max="7173" width="11.5" customWidth="1"/>
    <col min="7174" max="7174" width="14.6640625" customWidth="1"/>
    <col min="7175" max="7175" width="41.83203125" customWidth="1"/>
    <col min="7176" max="7424" width="8.83203125" customWidth="1"/>
    <col min="7425" max="7425" width="5.6640625" customWidth="1"/>
    <col min="7426" max="7426" width="34.5" customWidth="1"/>
    <col min="7427" max="7428" width="9.1640625" customWidth="1"/>
    <col min="7429" max="7429" width="11.5" customWidth="1"/>
    <col min="7430" max="7430" width="14.6640625" customWidth="1"/>
    <col min="7431" max="7431" width="41.83203125" customWidth="1"/>
    <col min="7432" max="7680" width="8.83203125" customWidth="1"/>
    <col min="7681" max="7681" width="5.6640625" customWidth="1"/>
    <col min="7682" max="7682" width="34.5" customWidth="1"/>
    <col min="7683" max="7684" width="9.1640625" customWidth="1"/>
    <col min="7685" max="7685" width="11.5" customWidth="1"/>
    <col min="7686" max="7686" width="14.6640625" customWidth="1"/>
    <col min="7687" max="7687" width="41.83203125" customWidth="1"/>
    <col min="7688" max="7936" width="8.83203125" customWidth="1"/>
    <col min="7937" max="7937" width="5.6640625" customWidth="1"/>
    <col min="7938" max="7938" width="34.5" customWidth="1"/>
    <col min="7939" max="7940" width="9.1640625" customWidth="1"/>
    <col min="7941" max="7941" width="11.5" customWidth="1"/>
    <col min="7942" max="7942" width="14.6640625" customWidth="1"/>
    <col min="7943" max="7943" width="41.83203125" customWidth="1"/>
    <col min="7944" max="8192" width="8.83203125" customWidth="1"/>
    <col min="8193" max="8193" width="5.6640625" customWidth="1"/>
    <col min="8194" max="8194" width="34.5" customWidth="1"/>
    <col min="8195" max="8196" width="9.1640625" customWidth="1"/>
    <col min="8197" max="8197" width="11.5" customWidth="1"/>
    <col min="8198" max="8198" width="14.6640625" customWidth="1"/>
    <col min="8199" max="8199" width="41.83203125" customWidth="1"/>
    <col min="8200" max="8448" width="8.83203125" customWidth="1"/>
    <col min="8449" max="8449" width="5.6640625" customWidth="1"/>
    <col min="8450" max="8450" width="34.5" customWidth="1"/>
    <col min="8451" max="8452" width="9.1640625" customWidth="1"/>
    <col min="8453" max="8453" width="11.5" customWidth="1"/>
    <col min="8454" max="8454" width="14.6640625" customWidth="1"/>
    <col min="8455" max="8455" width="41.83203125" customWidth="1"/>
    <col min="8456" max="8704" width="8.83203125" customWidth="1"/>
    <col min="8705" max="8705" width="5.6640625" customWidth="1"/>
    <col min="8706" max="8706" width="34.5" customWidth="1"/>
    <col min="8707" max="8708" width="9.1640625" customWidth="1"/>
    <col min="8709" max="8709" width="11.5" customWidth="1"/>
    <col min="8710" max="8710" width="14.6640625" customWidth="1"/>
    <col min="8711" max="8711" width="41.83203125" customWidth="1"/>
    <col min="8712" max="8960" width="8.83203125" customWidth="1"/>
    <col min="8961" max="8961" width="5.6640625" customWidth="1"/>
    <col min="8962" max="8962" width="34.5" customWidth="1"/>
    <col min="8963" max="8964" width="9.1640625" customWidth="1"/>
    <col min="8965" max="8965" width="11.5" customWidth="1"/>
    <col min="8966" max="8966" width="14.6640625" customWidth="1"/>
    <col min="8967" max="8967" width="41.83203125" customWidth="1"/>
    <col min="8968" max="9216" width="8.83203125" customWidth="1"/>
    <col min="9217" max="9217" width="5.6640625" customWidth="1"/>
    <col min="9218" max="9218" width="34.5" customWidth="1"/>
    <col min="9219" max="9220" width="9.1640625" customWidth="1"/>
    <col min="9221" max="9221" width="11.5" customWidth="1"/>
    <col min="9222" max="9222" width="14.6640625" customWidth="1"/>
    <col min="9223" max="9223" width="41.83203125" customWidth="1"/>
    <col min="9224" max="9472" width="8.83203125" customWidth="1"/>
    <col min="9473" max="9473" width="5.6640625" customWidth="1"/>
    <col min="9474" max="9474" width="34.5" customWidth="1"/>
    <col min="9475" max="9476" width="9.1640625" customWidth="1"/>
    <col min="9477" max="9477" width="11.5" customWidth="1"/>
    <col min="9478" max="9478" width="14.6640625" customWidth="1"/>
    <col min="9479" max="9479" width="41.83203125" customWidth="1"/>
    <col min="9480" max="9728" width="8.83203125" customWidth="1"/>
    <col min="9729" max="9729" width="5.6640625" customWidth="1"/>
    <col min="9730" max="9730" width="34.5" customWidth="1"/>
    <col min="9731" max="9732" width="9.1640625" customWidth="1"/>
    <col min="9733" max="9733" width="11.5" customWidth="1"/>
    <col min="9734" max="9734" width="14.6640625" customWidth="1"/>
    <col min="9735" max="9735" width="41.83203125" customWidth="1"/>
    <col min="9736" max="9984" width="8.83203125" customWidth="1"/>
    <col min="9985" max="9985" width="5.6640625" customWidth="1"/>
    <col min="9986" max="9986" width="34.5" customWidth="1"/>
    <col min="9987" max="9988" width="9.1640625" customWidth="1"/>
    <col min="9989" max="9989" width="11.5" customWidth="1"/>
    <col min="9990" max="9990" width="14.6640625" customWidth="1"/>
    <col min="9991" max="9991" width="41.83203125" customWidth="1"/>
    <col min="9992" max="10240" width="8.83203125" customWidth="1"/>
    <col min="10241" max="10241" width="5.6640625" customWidth="1"/>
    <col min="10242" max="10242" width="34.5" customWidth="1"/>
    <col min="10243" max="10244" width="9.1640625" customWidth="1"/>
    <col min="10245" max="10245" width="11.5" customWidth="1"/>
    <col min="10246" max="10246" width="14.6640625" customWidth="1"/>
    <col min="10247" max="10247" width="41.83203125" customWidth="1"/>
    <col min="10248" max="10496" width="8.83203125" customWidth="1"/>
    <col min="10497" max="10497" width="5.6640625" customWidth="1"/>
    <col min="10498" max="10498" width="34.5" customWidth="1"/>
    <col min="10499" max="10500" width="9.1640625" customWidth="1"/>
    <col min="10501" max="10501" width="11.5" customWidth="1"/>
    <col min="10502" max="10502" width="14.6640625" customWidth="1"/>
    <col min="10503" max="10503" width="41.83203125" customWidth="1"/>
    <col min="10504" max="10752" width="8.83203125" customWidth="1"/>
    <col min="10753" max="10753" width="5.6640625" customWidth="1"/>
    <col min="10754" max="10754" width="34.5" customWidth="1"/>
    <col min="10755" max="10756" width="9.1640625" customWidth="1"/>
    <col min="10757" max="10757" width="11.5" customWidth="1"/>
    <col min="10758" max="10758" width="14.6640625" customWidth="1"/>
    <col min="10759" max="10759" width="41.83203125" customWidth="1"/>
    <col min="10760" max="11008" width="8.83203125" customWidth="1"/>
    <col min="11009" max="11009" width="5.6640625" customWidth="1"/>
    <col min="11010" max="11010" width="34.5" customWidth="1"/>
    <col min="11011" max="11012" width="9.1640625" customWidth="1"/>
    <col min="11013" max="11013" width="11.5" customWidth="1"/>
    <col min="11014" max="11014" width="14.6640625" customWidth="1"/>
    <col min="11015" max="11015" width="41.83203125" customWidth="1"/>
    <col min="11016" max="11264" width="8.83203125" customWidth="1"/>
    <col min="11265" max="11265" width="5.6640625" customWidth="1"/>
    <col min="11266" max="11266" width="34.5" customWidth="1"/>
    <col min="11267" max="11268" width="9.1640625" customWidth="1"/>
    <col min="11269" max="11269" width="11.5" customWidth="1"/>
    <col min="11270" max="11270" width="14.6640625" customWidth="1"/>
    <col min="11271" max="11271" width="41.83203125" customWidth="1"/>
    <col min="11272" max="11520" width="8.83203125" customWidth="1"/>
    <col min="11521" max="11521" width="5.6640625" customWidth="1"/>
    <col min="11522" max="11522" width="34.5" customWidth="1"/>
    <col min="11523" max="11524" width="9.1640625" customWidth="1"/>
    <col min="11525" max="11525" width="11.5" customWidth="1"/>
    <col min="11526" max="11526" width="14.6640625" customWidth="1"/>
    <col min="11527" max="11527" width="41.83203125" customWidth="1"/>
    <col min="11528" max="11776" width="8.83203125" customWidth="1"/>
    <col min="11777" max="11777" width="5.6640625" customWidth="1"/>
    <col min="11778" max="11778" width="34.5" customWidth="1"/>
    <col min="11779" max="11780" width="9.1640625" customWidth="1"/>
    <col min="11781" max="11781" width="11.5" customWidth="1"/>
    <col min="11782" max="11782" width="14.6640625" customWidth="1"/>
    <col min="11783" max="11783" width="41.83203125" customWidth="1"/>
    <col min="11784" max="12032" width="8.83203125" customWidth="1"/>
    <col min="12033" max="12033" width="5.6640625" customWidth="1"/>
    <col min="12034" max="12034" width="34.5" customWidth="1"/>
    <col min="12035" max="12036" width="9.1640625" customWidth="1"/>
    <col min="12037" max="12037" width="11.5" customWidth="1"/>
    <col min="12038" max="12038" width="14.6640625" customWidth="1"/>
    <col min="12039" max="12039" width="41.83203125" customWidth="1"/>
    <col min="12040" max="12288" width="8.83203125" customWidth="1"/>
    <col min="12289" max="12289" width="5.6640625" customWidth="1"/>
    <col min="12290" max="12290" width="34.5" customWidth="1"/>
    <col min="12291" max="12292" width="9.1640625" customWidth="1"/>
    <col min="12293" max="12293" width="11.5" customWidth="1"/>
    <col min="12294" max="12294" width="14.6640625" customWidth="1"/>
    <col min="12295" max="12295" width="41.83203125" customWidth="1"/>
    <col min="12296" max="12544" width="8.83203125" customWidth="1"/>
    <col min="12545" max="12545" width="5.6640625" customWidth="1"/>
    <col min="12546" max="12546" width="34.5" customWidth="1"/>
    <col min="12547" max="12548" width="9.1640625" customWidth="1"/>
    <col min="12549" max="12549" width="11.5" customWidth="1"/>
    <col min="12550" max="12550" width="14.6640625" customWidth="1"/>
    <col min="12551" max="12551" width="41.83203125" customWidth="1"/>
    <col min="12552" max="12800" width="8.83203125" customWidth="1"/>
    <col min="12801" max="12801" width="5.6640625" customWidth="1"/>
    <col min="12802" max="12802" width="34.5" customWidth="1"/>
    <col min="12803" max="12804" width="9.1640625" customWidth="1"/>
    <col min="12805" max="12805" width="11.5" customWidth="1"/>
    <col min="12806" max="12806" width="14.6640625" customWidth="1"/>
    <col min="12807" max="12807" width="41.83203125" customWidth="1"/>
    <col min="12808" max="13056" width="8.83203125" customWidth="1"/>
    <col min="13057" max="13057" width="5.6640625" customWidth="1"/>
    <col min="13058" max="13058" width="34.5" customWidth="1"/>
    <col min="13059" max="13060" width="9.1640625" customWidth="1"/>
    <col min="13061" max="13061" width="11.5" customWidth="1"/>
    <col min="13062" max="13062" width="14.6640625" customWidth="1"/>
    <col min="13063" max="13063" width="41.83203125" customWidth="1"/>
    <col min="13064" max="13312" width="8.83203125" customWidth="1"/>
    <col min="13313" max="13313" width="5.6640625" customWidth="1"/>
    <col min="13314" max="13314" width="34.5" customWidth="1"/>
    <col min="13315" max="13316" width="9.1640625" customWidth="1"/>
    <col min="13317" max="13317" width="11.5" customWidth="1"/>
    <col min="13318" max="13318" width="14.6640625" customWidth="1"/>
    <col min="13319" max="13319" width="41.83203125" customWidth="1"/>
    <col min="13320" max="13568" width="8.83203125" customWidth="1"/>
    <col min="13569" max="13569" width="5.6640625" customWidth="1"/>
    <col min="13570" max="13570" width="34.5" customWidth="1"/>
    <col min="13571" max="13572" width="9.1640625" customWidth="1"/>
    <col min="13573" max="13573" width="11.5" customWidth="1"/>
    <col min="13574" max="13574" width="14.6640625" customWidth="1"/>
    <col min="13575" max="13575" width="41.83203125" customWidth="1"/>
    <col min="13576" max="13824" width="8.83203125" customWidth="1"/>
    <col min="13825" max="13825" width="5.6640625" customWidth="1"/>
    <col min="13826" max="13826" width="34.5" customWidth="1"/>
    <col min="13827" max="13828" width="9.1640625" customWidth="1"/>
    <col min="13829" max="13829" width="11.5" customWidth="1"/>
    <col min="13830" max="13830" width="14.6640625" customWidth="1"/>
    <col min="13831" max="13831" width="41.83203125" customWidth="1"/>
    <col min="13832" max="14080" width="8.83203125" customWidth="1"/>
    <col min="14081" max="14081" width="5.6640625" customWidth="1"/>
    <col min="14082" max="14082" width="34.5" customWidth="1"/>
    <col min="14083" max="14084" width="9.1640625" customWidth="1"/>
    <col min="14085" max="14085" width="11.5" customWidth="1"/>
    <col min="14086" max="14086" width="14.6640625" customWidth="1"/>
    <col min="14087" max="14087" width="41.83203125" customWidth="1"/>
    <col min="14088" max="14336" width="8.83203125" customWidth="1"/>
    <col min="14337" max="14337" width="5.6640625" customWidth="1"/>
    <col min="14338" max="14338" width="34.5" customWidth="1"/>
    <col min="14339" max="14340" width="9.1640625" customWidth="1"/>
    <col min="14341" max="14341" width="11.5" customWidth="1"/>
    <col min="14342" max="14342" width="14.6640625" customWidth="1"/>
    <col min="14343" max="14343" width="41.83203125" customWidth="1"/>
    <col min="14344" max="14592" width="8.83203125" customWidth="1"/>
    <col min="14593" max="14593" width="5.6640625" customWidth="1"/>
    <col min="14594" max="14594" width="34.5" customWidth="1"/>
    <col min="14595" max="14596" width="9.1640625" customWidth="1"/>
    <col min="14597" max="14597" width="11.5" customWidth="1"/>
    <col min="14598" max="14598" width="14.6640625" customWidth="1"/>
    <col min="14599" max="14599" width="41.83203125" customWidth="1"/>
    <col min="14600" max="14848" width="8.83203125" customWidth="1"/>
    <col min="14849" max="14849" width="5.6640625" customWidth="1"/>
    <col min="14850" max="14850" width="34.5" customWidth="1"/>
    <col min="14851" max="14852" width="9.1640625" customWidth="1"/>
    <col min="14853" max="14853" width="11.5" customWidth="1"/>
    <col min="14854" max="14854" width="14.6640625" customWidth="1"/>
    <col min="14855" max="14855" width="41.83203125" customWidth="1"/>
    <col min="14856" max="15104" width="8.83203125" customWidth="1"/>
    <col min="15105" max="15105" width="5.6640625" customWidth="1"/>
    <col min="15106" max="15106" width="34.5" customWidth="1"/>
    <col min="15107" max="15108" width="9.1640625" customWidth="1"/>
    <col min="15109" max="15109" width="11.5" customWidth="1"/>
    <col min="15110" max="15110" width="14.6640625" customWidth="1"/>
    <col min="15111" max="15111" width="41.83203125" customWidth="1"/>
    <col min="15112" max="15360" width="8.83203125" customWidth="1"/>
    <col min="15361" max="15361" width="5.6640625" customWidth="1"/>
    <col min="15362" max="15362" width="34.5" customWidth="1"/>
    <col min="15363" max="15364" width="9.1640625" customWidth="1"/>
    <col min="15365" max="15365" width="11.5" customWidth="1"/>
    <col min="15366" max="15366" width="14.6640625" customWidth="1"/>
    <col min="15367" max="15367" width="41.83203125" customWidth="1"/>
    <col min="15368" max="15616" width="8.83203125" customWidth="1"/>
    <col min="15617" max="15617" width="5.6640625" customWidth="1"/>
    <col min="15618" max="15618" width="34.5" customWidth="1"/>
    <col min="15619" max="15620" width="9.1640625" customWidth="1"/>
    <col min="15621" max="15621" width="11.5" customWidth="1"/>
    <col min="15622" max="15622" width="14.6640625" customWidth="1"/>
    <col min="15623" max="15623" width="41.83203125" customWidth="1"/>
    <col min="15624" max="15872" width="8.83203125" customWidth="1"/>
    <col min="15873" max="15873" width="5.6640625" customWidth="1"/>
    <col min="15874" max="15874" width="34.5" customWidth="1"/>
    <col min="15875" max="15876" width="9.1640625" customWidth="1"/>
    <col min="15877" max="15877" width="11.5" customWidth="1"/>
    <col min="15878" max="15878" width="14.6640625" customWidth="1"/>
    <col min="15879" max="15879" width="41.83203125" customWidth="1"/>
    <col min="15880" max="16128" width="8.83203125" customWidth="1"/>
    <col min="16129" max="16129" width="5.6640625" customWidth="1"/>
    <col min="16130" max="16130" width="34.5" customWidth="1"/>
    <col min="16131" max="16132" width="9.1640625" customWidth="1"/>
    <col min="16133" max="16133" width="11.5" customWidth="1"/>
    <col min="16134" max="16134" width="14.6640625" customWidth="1"/>
    <col min="16135" max="16135" width="41.83203125" customWidth="1"/>
    <col min="16136" max="16384" width="8.83203125" customWidth="1"/>
  </cols>
  <sheetData>
    <row r="1" spans="1:9" ht="14">
      <c r="A1" s="2017" t="s">
        <v>954</v>
      </c>
      <c r="B1" s="2017"/>
      <c r="C1" s="2018" t="s">
        <v>955</v>
      </c>
      <c r="D1" s="2018"/>
      <c r="E1" s="2018"/>
      <c r="F1" s="2018"/>
      <c r="G1" s="623"/>
    </row>
    <row r="2" spans="1:9" ht="16">
      <c r="A2" s="2019" t="s">
        <v>134</v>
      </c>
      <c r="B2" s="2019"/>
      <c r="C2" s="2018" t="s">
        <v>956</v>
      </c>
      <c r="D2" s="2018"/>
      <c r="E2" s="2018"/>
      <c r="F2" s="2018"/>
      <c r="G2" s="1828" t="s">
        <v>1664</v>
      </c>
    </row>
    <row r="3" spans="1:9" ht="16">
      <c r="A3" s="624"/>
      <c r="B3" s="625"/>
      <c r="C3" s="624"/>
      <c r="D3" s="624"/>
      <c r="E3" s="626"/>
      <c r="F3" s="627"/>
      <c r="G3" s="623"/>
    </row>
    <row r="4" spans="1:9" ht="14">
      <c r="A4" s="1952" t="s">
        <v>957</v>
      </c>
      <c r="B4" s="1952"/>
      <c r="C4" s="1952"/>
      <c r="D4" s="1952"/>
      <c r="E4" s="1952"/>
      <c r="F4" s="1952"/>
      <c r="G4" s="1952"/>
    </row>
    <row r="5" spans="1:9" ht="16">
      <c r="A5" s="628"/>
      <c r="B5" s="629"/>
      <c r="C5" s="630"/>
      <c r="E5" s="631"/>
      <c r="F5" s="632"/>
      <c r="G5" s="633" t="s">
        <v>958</v>
      </c>
    </row>
    <row r="6" spans="1:9" ht="30">
      <c r="A6" s="634" t="s">
        <v>50</v>
      </c>
      <c r="B6" s="635" t="s">
        <v>959</v>
      </c>
      <c r="C6" s="635" t="s">
        <v>1</v>
      </c>
      <c r="D6" s="635" t="s">
        <v>368</v>
      </c>
      <c r="E6" s="636" t="s">
        <v>27</v>
      </c>
      <c r="F6" s="637" t="s">
        <v>960</v>
      </c>
      <c r="G6" s="634" t="s">
        <v>2</v>
      </c>
    </row>
    <row r="7" spans="1:9" ht="16">
      <c r="A7" s="635" t="s">
        <v>6</v>
      </c>
      <c r="B7" s="638" t="s">
        <v>961</v>
      </c>
      <c r="C7" s="639"/>
      <c r="D7" s="639"/>
      <c r="E7" s="640"/>
      <c r="F7" s="641">
        <v>58500000</v>
      </c>
      <c r="G7" s="642"/>
    </row>
    <row r="8" spans="1:9" ht="16">
      <c r="A8" s="639">
        <v>1</v>
      </c>
      <c r="B8" s="643" t="s">
        <v>962</v>
      </c>
      <c r="C8" s="639" t="s">
        <v>963</v>
      </c>
      <c r="D8" s="639">
        <v>1300</v>
      </c>
      <c r="E8" s="640">
        <v>25000</v>
      </c>
      <c r="F8" s="644">
        <v>32500000</v>
      </c>
      <c r="G8" s="645" t="s">
        <v>964</v>
      </c>
    </row>
    <row r="9" spans="1:9" ht="16">
      <c r="A9" s="646">
        <v>2</v>
      </c>
      <c r="B9" s="643" t="s">
        <v>965</v>
      </c>
      <c r="C9" s="639" t="s">
        <v>963</v>
      </c>
      <c r="D9" s="639">
        <v>1040</v>
      </c>
      <c r="E9" s="640">
        <v>25000</v>
      </c>
      <c r="F9" s="644">
        <f>D9*E9</f>
        <v>26000000</v>
      </c>
      <c r="G9" s="645" t="s">
        <v>966</v>
      </c>
    </row>
    <row r="10" spans="1:9" ht="16">
      <c r="A10" s="647" t="s">
        <v>7</v>
      </c>
      <c r="B10" s="638" t="s">
        <v>967</v>
      </c>
      <c r="C10" s="639"/>
      <c r="D10" s="639"/>
      <c r="E10" s="640"/>
      <c r="F10" s="641">
        <v>38284000</v>
      </c>
      <c r="G10" s="648"/>
      <c r="I10" s="2"/>
    </row>
    <row r="11" spans="1:9" ht="16">
      <c r="A11" s="639">
        <v>1</v>
      </c>
      <c r="B11" s="643" t="s">
        <v>968</v>
      </c>
      <c r="C11" s="639" t="s">
        <v>963</v>
      </c>
      <c r="D11" s="639">
        <v>240</v>
      </c>
      <c r="E11" s="640">
        <v>25000</v>
      </c>
      <c r="F11" s="644">
        <v>14000000</v>
      </c>
      <c r="G11" s="649" t="s">
        <v>969</v>
      </c>
    </row>
    <row r="12" spans="1:9" ht="16">
      <c r="A12" s="634">
        <v>2</v>
      </c>
      <c r="B12" s="643" t="s">
        <v>970</v>
      </c>
      <c r="C12" s="639" t="s">
        <v>963</v>
      </c>
      <c r="D12" s="639">
        <v>288</v>
      </c>
      <c r="E12" s="640">
        <v>22000</v>
      </c>
      <c r="F12" s="644">
        <v>14784000</v>
      </c>
      <c r="G12" s="649" t="s">
        <v>971</v>
      </c>
    </row>
    <row r="13" spans="1:9" ht="16">
      <c r="A13" s="639">
        <v>3</v>
      </c>
      <c r="B13" s="643" t="s">
        <v>972</v>
      </c>
      <c r="C13" s="639" t="s">
        <v>963</v>
      </c>
      <c r="D13" s="639">
        <v>48</v>
      </c>
      <c r="E13" s="640">
        <v>25000</v>
      </c>
      <c r="F13" s="644">
        <v>2800000</v>
      </c>
      <c r="G13" s="649" t="s">
        <v>973</v>
      </c>
    </row>
    <row r="14" spans="1:9" ht="16">
      <c r="A14" s="639">
        <v>4</v>
      </c>
      <c r="B14" s="643" t="s">
        <v>974</v>
      </c>
      <c r="C14" s="639" t="s">
        <v>975</v>
      </c>
      <c r="D14" s="639">
        <v>6</v>
      </c>
      <c r="E14" s="640">
        <v>300000</v>
      </c>
      <c r="F14" s="644">
        <f t="shared" ref="F14:F33" si="0">D14*E14</f>
        <v>1800000</v>
      </c>
      <c r="G14" s="649" t="s">
        <v>976</v>
      </c>
    </row>
    <row r="15" spans="1:9" ht="16">
      <c r="A15" s="639">
        <v>5</v>
      </c>
      <c r="B15" s="643" t="s">
        <v>977</v>
      </c>
      <c r="C15" s="639" t="s">
        <v>365</v>
      </c>
      <c r="D15" s="639">
        <v>12</v>
      </c>
      <c r="E15" s="640">
        <v>100000</v>
      </c>
      <c r="F15" s="644">
        <v>2800000</v>
      </c>
      <c r="G15" s="649" t="s">
        <v>978</v>
      </c>
    </row>
    <row r="16" spans="1:9" ht="16">
      <c r="A16" s="639">
        <v>6</v>
      </c>
      <c r="B16" s="643" t="s">
        <v>767</v>
      </c>
      <c r="C16" s="639" t="s">
        <v>975</v>
      </c>
      <c r="D16" s="639">
        <v>6</v>
      </c>
      <c r="E16" s="640">
        <v>200000</v>
      </c>
      <c r="F16" s="644">
        <f t="shared" si="0"/>
        <v>1200000</v>
      </c>
      <c r="G16" s="649" t="s">
        <v>979</v>
      </c>
    </row>
    <row r="17" spans="1:7" ht="16">
      <c r="A17" s="639">
        <v>7</v>
      </c>
      <c r="B17" s="643" t="s">
        <v>980</v>
      </c>
      <c r="C17" s="639" t="s">
        <v>975</v>
      </c>
      <c r="D17" s="639">
        <v>6</v>
      </c>
      <c r="E17" s="640">
        <v>150000</v>
      </c>
      <c r="F17" s="644">
        <f t="shared" si="0"/>
        <v>900000</v>
      </c>
      <c r="G17" s="649" t="s">
        <v>981</v>
      </c>
    </row>
    <row r="18" spans="1:7" ht="16">
      <c r="A18" s="634" t="s">
        <v>24</v>
      </c>
      <c r="B18" s="638" t="s">
        <v>982</v>
      </c>
      <c r="C18" s="650"/>
      <c r="D18" s="650"/>
      <c r="E18" s="651"/>
      <c r="F18" s="641">
        <v>1800000</v>
      </c>
      <c r="G18" s="652"/>
    </row>
    <row r="19" spans="1:7" ht="16">
      <c r="A19" s="639">
        <v>1</v>
      </c>
      <c r="B19" s="643" t="s">
        <v>983</v>
      </c>
      <c r="C19" s="639" t="s">
        <v>975</v>
      </c>
      <c r="D19" s="639">
        <v>6</v>
      </c>
      <c r="E19" s="640">
        <v>200000</v>
      </c>
      <c r="F19" s="644">
        <f t="shared" si="0"/>
        <v>1200000</v>
      </c>
      <c r="G19" s="649" t="s">
        <v>979</v>
      </c>
    </row>
    <row r="20" spans="1:7" ht="16">
      <c r="A20" s="639">
        <v>2</v>
      </c>
      <c r="B20" s="653" t="s">
        <v>984</v>
      </c>
      <c r="C20" s="654" t="s">
        <v>985</v>
      </c>
      <c r="D20" s="654">
        <v>2</v>
      </c>
      <c r="E20" s="619">
        <v>300000</v>
      </c>
      <c r="F20" s="644">
        <f t="shared" si="0"/>
        <v>600000</v>
      </c>
      <c r="G20" s="655" t="s">
        <v>986</v>
      </c>
    </row>
    <row r="21" spans="1:7" ht="16">
      <c r="A21" s="634" t="s">
        <v>35</v>
      </c>
      <c r="B21" s="656" t="s">
        <v>987</v>
      </c>
      <c r="C21" s="657"/>
      <c r="D21" s="639"/>
      <c r="E21" s="640"/>
      <c r="F21" s="641">
        <v>2800000</v>
      </c>
      <c r="G21" s="649"/>
    </row>
    <row r="22" spans="1:7" ht="16">
      <c r="A22" s="639">
        <v>1</v>
      </c>
      <c r="B22" s="643" t="s">
        <v>988</v>
      </c>
      <c r="C22" s="639" t="s">
        <v>985</v>
      </c>
      <c r="D22" s="639">
        <v>130</v>
      </c>
      <c r="E22" s="640">
        <v>10000</v>
      </c>
      <c r="F22" s="644">
        <f t="shared" si="0"/>
        <v>1300000</v>
      </c>
      <c r="G22" s="649" t="s">
        <v>989</v>
      </c>
    </row>
    <row r="23" spans="1:7" ht="16">
      <c r="A23" s="639">
        <v>2</v>
      </c>
      <c r="B23" s="643" t="s">
        <v>990</v>
      </c>
      <c r="C23" s="639"/>
      <c r="D23" s="639"/>
      <c r="E23" s="640"/>
      <c r="F23" s="658">
        <v>1500000</v>
      </c>
      <c r="G23" s="649"/>
    </row>
    <row r="24" spans="1:7" ht="16">
      <c r="A24" s="639"/>
      <c r="B24" s="643" t="s">
        <v>991</v>
      </c>
      <c r="C24" s="639" t="s">
        <v>975</v>
      </c>
      <c r="D24" s="639">
        <v>6</v>
      </c>
      <c r="E24" s="640">
        <v>150000</v>
      </c>
      <c r="F24" s="644">
        <f t="shared" si="0"/>
        <v>900000</v>
      </c>
      <c r="G24" s="649" t="s">
        <v>981</v>
      </c>
    </row>
    <row r="25" spans="1:7" ht="16">
      <c r="A25" s="639"/>
      <c r="B25" s="643" t="s">
        <v>992</v>
      </c>
      <c r="C25" s="639" t="s">
        <v>975</v>
      </c>
      <c r="D25" s="639">
        <v>6</v>
      </c>
      <c r="E25" s="640">
        <v>100000</v>
      </c>
      <c r="F25" s="644">
        <f t="shared" si="0"/>
        <v>600000</v>
      </c>
      <c r="G25" s="649" t="s">
        <v>993</v>
      </c>
    </row>
    <row r="26" spans="1:7" ht="28">
      <c r="A26" s="639" t="s">
        <v>39</v>
      </c>
      <c r="B26" s="659" t="s">
        <v>994</v>
      </c>
      <c r="C26" s="659"/>
      <c r="D26" s="659"/>
      <c r="E26" s="659"/>
      <c r="F26" s="641">
        <v>14800000</v>
      </c>
      <c r="G26" s="660"/>
    </row>
    <row r="27" spans="1:7" ht="16">
      <c r="A27" s="639">
        <v>1</v>
      </c>
      <c r="B27" s="661" t="s">
        <v>995</v>
      </c>
      <c r="C27" s="639"/>
      <c r="D27" s="639"/>
      <c r="E27" s="640"/>
      <c r="F27" s="658">
        <v>1100000</v>
      </c>
      <c r="G27" s="649"/>
    </row>
    <row r="28" spans="1:7" ht="16">
      <c r="A28" s="639"/>
      <c r="B28" s="643" t="s">
        <v>996</v>
      </c>
      <c r="C28" s="639" t="s">
        <v>997</v>
      </c>
      <c r="D28" s="639">
        <v>1</v>
      </c>
      <c r="E28" s="640">
        <v>500000</v>
      </c>
      <c r="F28" s="644">
        <f t="shared" si="0"/>
        <v>500000</v>
      </c>
      <c r="G28" s="649" t="s">
        <v>998</v>
      </c>
    </row>
    <row r="29" spans="1:7" ht="16">
      <c r="A29" s="639"/>
      <c r="B29" s="643" t="s">
        <v>999</v>
      </c>
      <c r="C29" s="639" t="s">
        <v>1000</v>
      </c>
      <c r="D29" s="639">
        <v>6</v>
      </c>
      <c r="E29" s="640">
        <v>100000</v>
      </c>
      <c r="F29" s="644">
        <f t="shared" si="0"/>
        <v>600000</v>
      </c>
      <c r="G29" s="649" t="s">
        <v>1001</v>
      </c>
    </row>
    <row r="30" spans="1:7" ht="16">
      <c r="A30" s="639">
        <v>2</v>
      </c>
      <c r="B30" s="661" t="s">
        <v>1002</v>
      </c>
      <c r="C30" s="639"/>
      <c r="D30" s="639"/>
      <c r="E30" s="640"/>
      <c r="F30" s="658">
        <v>12900000</v>
      </c>
      <c r="G30" s="649"/>
    </row>
    <row r="31" spans="1:7" ht="16">
      <c r="A31" s="639"/>
      <c r="B31" s="643"/>
      <c r="C31" s="639" t="s">
        <v>985</v>
      </c>
      <c r="D31" s="639">
        <v>108</v>
      </c>
      <c r="E31" s="640">
        <v>50000</v>
      </c>
      <c r="F31" s="644">
        <f t="shared" si="0"/>
        <v>5400000</v>
      </c>
      <c r="G31" s="649" t="s">
        <v>1003</v>
      </c>
    </row>
    <row r="32" spans="1:7" ht="16">
      <c r="A32" s="639"/>
      <c r="B32" s="643"/>
      <c r="C32" s="639" t="s">
        <v>985</v>
      </c>
      <c r="D32" s="639">
        <v>90</v>
      </c>
      <c r="E32" s="640">
        <v>50000</v>
      </c>
      <c r="F32" s="644">
        <f t="shared" si="0"/>
        <v>4500000</v>
      </c>
      <c r="G32" s="649" t="s">
        <v>1004</v>
      </c>
    </row>
    <row r="33" spans="1:7" ht="16">
      <c r="A33" s="654"/>
      <c r="B33" s="662"/>
      <c r="C33" s="639" t="s">
        <v>997</v>
      </c>
      <c r="D33" s="646">
        <v>6</v>
      </c>
      <c r="E33" s="663">
        <v>500000</v>
      </c>
      <c r="F33" s="644">
        <f t="shared" si="0"/>
        <v>3000000</v>
      </c>
      <c r="G33" s="649" t="s">
        <v>1005</v>
      </c>
    </row>
    <row r="34" spans="1:7" ht="16">
      <c r="A34" s="639"/>
      <c r="B34" s="664" t="s">
        <v>13</v>
      </c>
      <c r="C34" s="639"/>
      <c r="D34" s="639"/>
      <c r="E34" s="640"/>
      <c r="F34" s="641">
        <v>124054000</v>
      </c>
      <c r="G34" s="665"/>
    </row>
    <row r="35" spans="1:7">
      <c r="B35" s="666" t="s">
        <v>1006</v>
      </c>
      <c r="F35" s="667"/>
      <c r="G35" s="668"/>
    </row>
    <row r="36" spans="1:7" ht="16">
      <c r="F36" s="2034" t="s">
        <v>1455</v>
      </c>
      <c r="G36" s="2034"/>
    </row>
    <row r="37" spans="1:7" ht="14">
      <c r="A37" s="628"/>
      <c r="B37" s="669"/>
      <c r="C37" s="628"/>
      <c r="D37" s="628"/>
      <c r="E37" s="623"/>
    </row>
    <row r="38" spans="1:7" ht="14">
      <c r="A38" s="2015" t="s">
        <v>1007</v>
      </c>
      <c r="B38" s="2016"/>
      <c r="C38" s="2016"/>
      <c r="D38" s="2016"/>
      <c r="E38" s="2016"/>
      <c r="F38" s="2016"/>
      <c r="G38" s="2016"/>
    </row>
    <row r="39" spans="1:7" ht="16">
      <c r="A39" s="628"/>
      <c r="B39" s="669"/>
      <c r="C39" s="628"/>
      <c r="D39" s="628"/>
      <c r="E39" s="670"/>
      <c r="F39" s="599"/>
    </row>
    <row r="40" spans="1:7" ht="16">
      <c r="A40" s="628"/>
      <c r="B40" s="669"/>
      <c r="C40" s="628"/>
      <c r="D40" s="628"/>
      <c r="E40" s="670"/>
      <c r="F40" s="599"/>
      <c r="G40" s="623"/>
    </row>
    <row r="41" spans="1:7" ht="16">
      <c r="A41" s="628"/>
      <c r="B41" s="669"/>
      <c r="C41" s="628"/>
      <c r="D41" s="628"/>
      <c r="E41" s="670"/>
      <c r="F41" s="599"/>
      <c r="G41" s="623"/>
    </row>
    <row r="42" spans="1:7" ht="16">
      <c r="A42" s="628"/>
      <c r="B42" s="669"/>
      <c r="C42" s="628"/>
      <c r="D42" s="628"/>
      <c r="E42" s="670"/>
      <c r="F42" s="599"/>
      <c r="G42" s="671" t="s">
        <v>1008</v>
      </c>
    </row>
  </sheetData>
  <mergeCells count="7">
    <mergeCell ref="A38:G38"/>
    <mergeCell ref="A1:B1"/>
    <mergeCell ref="C1:F1"/>
    <mergeCell ref="A2:B2"/>
    <mergeCell ref="C2:F2"/>
    <mergeCell ref="A4:G4"/>
    <mergeCell ref="F36:G36"/>
  </mergeCells>
  <pageMargins left="0.75" right="0.5" top="1" bottom="1" header="0.5" footer="0.5"/>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46"/>
  <sheetViews>
    <sheetView view="pageBreakPreview" topLeftCell="A28" zoomScale="115" zoomScaleNormal="100" zoomScaleSheetLayoutView="115" workbookViewId="0">
      <selection activeCell="A4" sqref="A4:G4"/>
    </sheetView>
  </sheetViews>
  <sheetFormatPr baseColWidth="10" defaultColWidth="9.1640625" defaultRowHeight="16.5" customHeight="1"/>
  <cols>
    <col min="1" max="1" width="7.5" style="1" customWidth="1"/>
    <col min="2" max="2" width="36.33203125" style="791" customWidth="1"/>
    <col min="3" max="3" width="12.33203125" customWidth="1"/>
    <col min="4" max="4" width="11.1640625" customWidth="1"/>
    <col min="5" max="5" width="13.1640625" customWidth="1"/>
    <col min="6" max="6" width="17.6640625" customWidth="1"/>
    <col min="7" max="7" width="32.6640625" customWidth="1"/>
    <col min="10" max="10" width="19.5" customWidth="1"/>
    <col min="257" max="257" width="6.5" customWidth="1"/>
    <col min="258" max="258" width="35" customWidth="1"/>
    <col min="259" max="259" width="11" customWidth="1"/>
    <col min="260" max="260" width="11.1640625" customWidth="1"/>
    <col min="261" max="261" width="13.1640625" customWidth="1"/>
    <col min="262" max="262" width="16.33203125" customWidth="1"/>
    <col min="263" max="263" width="32.6640625" customWidth="1"/>
    <col min="266" max="266" width="19.5" customWidth="1"/>
    <col min="513" max="513" width="6.5" customWidth="1"/>
    <col min="514" max="514" width="35" customWidth="1"/>
    <col min="515" max="515" width="11" customWidth="1"/>
    <col min="516" max="516" width="11.1640625" customWidth="1"/>
    <col min="517" max="517" width="13.1640625" customWidth="1"/>
    <col min="518" max="518" width="16.33203125" customWidth="1"/>
    <col min="519" max="519" width="32.6640625" customWidth="1"/>
    <col min="522" max="522" width="19.5" customWidth="1"/>
    <col min="769" max="769" width="6.5" customWidth="1"/>
    <col min="770" max="770" width="35" customWidth="1"/>
    <col min="771" max="771" width="11" customWidth="1"/>
    <col min="772" max="772" width="11.1640625" customWidth="1"/>
    <col min="773" max="773" width="13.1640625" customWidth="1"/>
    <col min="774" max="774" width="16.33203125" customWidth="1"/>
    <col min="775" max="775" width="32.6640625" customWidth="1"/>
    <col min="778" max="778" width="19.5" customWidth="1"/>
    <col min="1025" max="1025" width="6.5" customWidth="1"/>
    <col min="1026" max="1026" width="35" customWidth="1"/>
    <col min="1027" max="1027" width="11" customWidth="1"/>
    <col min="1028" max="1028" width="11.1640625" customWidth="1"/>
    <col min="1029" max="1029" width="13.1640625" customWidth="1"/>
    <col min="1030" max="1030" width="16.33203125" customWidth="1"/>
    <col min="1031" max="1031" width="32.6640625" customWidth="1"/>
    <col min="1034" max="1034" width="19.5" customWidth="1"/>
    <col min="1281" max="1281" width="6.5" customWidth="1"/>
    <col min="1282" max="1282" width="35" customWidth="1"/>
    <col min="1283" max="1283" width="11" customWidth="1"/>
    <col min="1284" max="1284" width="11.1640625" customWidth="1"/>
    <col min="1285" max="1285" width="13.1640625" customWidth="1"/>
    <col min="1286" max="1286" width="16.33203125" customWidth="1"/>
    <col min="1287" max="1287" width="32.6640625" customWidth="1"/>
    <col min="1290" max="1290" width="19.5" customWidth="1"/>
    <col min="1537" max="1537" width="6.5" customWidth="1"/>
    <col min="1538" max="1538" width="35" customWidth="1"/>
    <col min="1539" max="1539" width="11" customWidth="1"/>
    <col min="1540" max="1540" width="11.1640625" customWidth="1"/>
    <col min="1541" max="1541" width="13.1640625" customWidth="1"/>
    <col min="1542" max="1542" width="16.33203125" customWidth="1"/>
    <col min="1543" max="1543" width="32.6640625" customWidth="1"/>
    <col min="1546" max="1546" width="19.5" customWidth="1"/>
    <col min="1793" max="1793" width="6.5" customWidth="1"/>
    <col min="1794" max="1794" width="35" customWidth="1"/>
    <col min="1795" max="1795" width="11" customWidth="1"/>
    <col min="1796" max="1796" width="11.1640625" customWidth="1"/>
    <col min="1797" max="1797" width="13.1640625" customWidth="1"/>
    <col min="1798" max="1798" width="16.33203125" customWidth="1"/>
    <col min="1799" max="1799" width="32.6640625" customWidth="1"/>
    <col min="1802" max="1802" width="19.5" customWidth="1"/>
    <col min="2049" max="2049" width="6.5" customWidth="1"/>
    <col min="2050" max="2050" width="35" customWidth="1"/>
    <col min="2051" max="2051" width="11" customWidth="1"/>
    <col min="2052" max="2052" width="11.1640625" customWidth="1"/>
    <col min="2053" max="2053" width="13.1640625" customWidth="1"/>
    <col min="2054" max="2054" width="16.33203125" customWidth="1"/>
    <col min="2055" max="2055" width="32.6640625" customWidth="1"/>
    <col min="2058" max="2058" width="19.5" customWidth="1"/>
    <col min="2305" max="2305" width="6.5" customWidth="1"/>
    <col min="2306" max="2306" width="35" customWidth="1"/>
    <col min="2307" max="2307" width="11" customWidth="1"/>
    <col min="2308" max="2308" width="11.1640625" customWidth="1"/>
    <col min="2309" max="2309" width="13.1640625" customWidth="1"/>
    <col min="2310" max="2310" width="16.33203125" customWidth="1"/>
    <col min="2311" max="2311" width="32.6640625" customWidth="1"/>
    <col min="2314" max="2314" width="19.5" customWidth="1"/>
    <col min="2561" max="2561" width="6.5" customWidth="1"/>
    <col min="2562" max="2562" width="35" customWidth="1"/>
    <col min="2563" max="2563" width="11" customWidth="1"/>
    <col min="2564" max="2564" width="11.1640625" customWidth="1"/>
    <col min="2565" max="2565" width="13.1640625" customWidth="1"/>
    <col min="2566" max="2566" width="16.33203125" customWidth="1"/>
    <col min="2567" max="2567" width="32.6640625" customWidth="1"/>
    <col min="2570" max="2570" width="19.5" customWidth="1"/>
    <col min="2817" max="2817" width="6.5" customWidth="1"/>
    <col min="2818" max="2818" width="35" customWidth="1"/>
    <col min="2819" max="2819" width="11" customWidth="1"/>
    <col min="2820" max="2820" width="11.1640625" customWidth="1"/>
    <col min="2821" max="2821" width="13.1640625" customWidth="1"/>
    <col min="2822" max="2822" width="16.33203125" customWidth="1"/>
    <col min="2823" max="2823" width="32.6640625" customWidth="1"/>
    <col min="2826" max="2826" width="19.5" customWidth="1"/>
    <col min="3073" max="3073" width="6.5" customWidth="1"/>
    <col min="3074" max="3074" width="35" customWidth="1"/>
    <col min="3075" max="3075" width="11" customWidth="1"/>
    <col min="3076" max="3076" width="11.1640625" customWidth="1"/>
    <col min="3077" max="3077" width="13.1640625" customWidth="1"/>
    <col min="3078" max="3078" width="16.33203125" customWidth="1"/>
    <col min="3079" max="3079" width="32.6640625" customWidth="1"/>
    <col min="3082" max="3082" width="19.5" customWidth="1"/>
    <col min="3329" max="3329" width="6.5" customWidth="1"/>
    <col min="3330" max="3330" width="35" customWidth="1"/>
    <col min="3331" max="3331" width="11" customWidth="1"/>
    <col min="3332" max="3332" width="11.1640625" customWidth="1"/>
    <col min="3333" max="3333" width="13.1640625" customWidth="1"/>
    <col min="3334" max="3334" width="16.33203125" customWidth="1"/>
    <col min="3335" max="3335" width="32.6640625" customWidth="1"/>
    <col min="3338" max="3338" width="19.5" customWidth="1"/>
    <col min="3585" max="3585" width="6.5" customWidth="1"/>
    <col min="3586" max="3586" width="35" customWidth="1"/>
    <col min="3587" max="3587" width="11" customWidth="1"/>
    <col min="3588" max="3588" width="11.1640625" customWidth="1"/>
    <col min="3589" max="3589" width="13.1640625" customWidth="1"/>
    <col min="3590" max="3590" width="16.33203125" customWidth="1"/>
    <col min="3591" max="3591" width="32.6640625" customWidth="1"/>
    <col min="3594" max="3594" width="19.5" customWidth="1"/>
    <col min="3841" max="3841" width="6.5" customWidth="1"/>
    <col min="3842" max="3842" width="35" customWidth="1"/>
    <col min="3843" max="3843" width="11" customWidth="1"/>
    <col min="3844" max="3844" width="11.1640625" customWidth="1"/>
    <col min="3845" max="3845" width="13.1640625" customWidth="1"/>
    <col min="3846" max="3846" width="16.33203125" customWidth="1"/>
    <col min="3847" max="3847" width="32.6640625" customWidth="1"/>
    <col min="3850" max="3850" width="19.5" customWidth="1"/>
    <col min="4097" max="4097" width="6.5" customWidth="1"/>
    <col min="4098" max="4098" width="35" customWidth="1"/>
    <col min="4099" max="4099" width="11" customWidth="1"/>
    <col min="4100" max="4100" width="11.1640625" customWidth="1"/>
    <col min="4101" max="4101" width="13.1640625" customWidth="1"/>
    <col min="4102" max="4102" width="16.33203125" customWidth="1"/>
    <col min="4103" max="4103" width="32.6640625" customWidth="1"/>
    <col min="4106" max="4106" width="19.5" customWidth="1"/>
    <col min="4353" max="4353" width="6.5" customWidth="1"/>
    <col min="4354" max="4354" width="35" customWidth="1"/>
    <col min="4355" max="4355" width="11" customWidth="1"/>
    <col min="4356" max="4356" width="11.1640625" customWidth="1"/>
    <col min="4357" max="4357" width="13.1640625" customWidth="1"/>
    <col min="4358" max="4358" width="16.33203125" customWidth="1"/>
    <col min="4359" max="4359" width="32.6640625" customWidth="1"/>
    <col min="4362" max="4362" width="19.5" customWidth="1"/>
    <col min="4609" max="4609" width="6.5" customWidth="1"/>
    <col min="4610" max="4610" width="35" customWidth="1"/>
    <col min="4611" max="4611" width="11" customWidth="1"/>
    <col min="4612" max="4612" width="11.1640625" customWidth="1"/>
    <col min="4613" max="4613" width="13.1640625" customWidth="1"/>
    <col min="4614" max="4614" width="16.33203125" customWidth="1"/>
    <col min="4615" max="4615" width="32.6640625" customWidth="1"/>
    <col min="4618" max="4618" width="19.5" customWidth="1"/>
    <col min="4865" max="4865" width="6.5" customWidth="1"/>
    <col min="4866" max="4866" width="35" customWidth="1"/>
    <col min="4867" max="4867" width="11" customWidth="1"/>
    <col min="4868" max="4868" width="11.1640625" customWidth="1"/>
    <col min="4869" max="4869" width="13.1640625" customWidth="1"/>
    <col min="4870" max="4870" width="16.33203125" customWidth="1"/>
    <col min="4871" max="4871" width="32.6640625" customWidth="1"/>
    <col min="4874" max="4874" width="19.5" customWidth="1"/>
    <col min="5121" max="5121" width="6.5" customWidth="1"/>
    <col min="5122" max="5122" width="35" customWidth="1"/>
    <col min="5123" max="5123" width="11" customWidth="1"/>
    <col min="5124" max="5124" width="11.1640625" customWidth="1"/>
    <col min="5125" max="5125" width="13.1640625" customWidth="1"/>
    <col min="5126" max="5126" width="16.33203125" customWidth="1"/>
    <col min="5127" max="5127" width="32.6640625" customWidth="1"/>
    <col min="5130" max="5130" width="19.5" customWidth="1"/>
    <col min="5377" max="5377" width="6.5" customWidth="1"/>
    <col min="5378" max="5378" width="35" customWidth="1"/>
    <col min="5379" max="5379" width="11" customWidth="1"/>
    <col min="5380" max="5380" width="11.1640625" customWidth="1"/>
    <col min="5381" max="5381" width="13.1640625" customWidth="1"/>
    <col min="5382" max="5382" width="16.33203125" customWidth="1"/>
    <col min="5383" max="5383" width="32.6640625" customWidth="1"/>
    <col min="5386" max="5386" width="19.5" customWidth="1"/>
    <col min="5633" max="5633" width="6.5" customWidth="1"/>
    <col min="5634" max="5634" width="35" customWidth="1"/>
    <col min="5635" max="5635" width="11" customWidth="1"/>
    <col min="5636" max="5636" width="11.1640625" customWidth="1"/>
    <col min="5637" max="5637" width="13.1640625" customWidth="1"/>
    <col min="5638" max="5638" width="16.33203125" customWidth="1"/>
    <col min="5639" max="5639" width="32.6640625" customWidth="1"/>
    <col min="5642" max="5642" width="19.5" customWidth="1"/>
    <col min="5889" max="5889" width="6.5" customWidth="1"/>
    <col min="5890" max="5890" width="35" customWidth="1"/>
    <col min="5891" max="5891" width="11" customWidth="1"/>
    <col min="5892" max="5892" width="11.1640625" customWidth="1"/>
    <col min="5893" max="5893" width="13.1640625" customWidth="1"/>
    <col min="5894" max="5894" width="16.33203125" customWidth="1"/>
    <col min="5895" max="5895" width="32.6640625" customWidth="1"/>
    <col min="5898" max="5898" width="19.5" customWidth="1"/>
    <col min="6145" max="6145" width="6.5" customWidth="1"/>
    <col min="6146" max="6146" width="35" customWidth="1"/>
    <col min="6147" max="6147" width="11" customWidth="1"/>
    <col min="6148" max="6148" width="11.1640625" customWidth="1"/>
    <col min="6149" max="6149" width="13.1640625" customWidth="1"/>
    <col min="6150" max="6150" width="16.33203125" customWidth="1"/>
    <col min="6151" max="6151" width="32.6640625" customWidth="1"/>
    <col min="6154" max="6154" width="19.5" customWidth="1"/>
    <col min="6401" max="6401" width="6.5" customWidth="1"/>
    <col min="6402" max="6402" width="35" customWidth="1"/>
    <col min="6403" max="6403" width="11" customWidth="1"/>
    <col min="6404" max="6404" width="11.1640625" customWidth="1"/>
    <col min="6405" max="6405" width="13.1640625" customWidth="1"/>
    <col min="6406" max="6406" width="16.33203125" customWidth="1"/>
    <col min="6407" max="6407" width="32.6640625" customWidth="1"/>
    <col min="6410" max="6410" width="19.5" customWidth="1"/>
    <col min="6657" max="6657" width="6.5" customWidth="1"/>
    <col min="6658" max="6658" width="35" customWidth="1"/>
    <col min="6659" max="6659" width="11" customWidth="1"/>
    <col min="6660" max="6660" width="11.1640625" customWidth="1"/>
    <col min="6661" max="6661" width="13.1640625" customWidth="1"/>
    <col min="6662" max="6662" width="16.33203125" customWidth="1"/>
    <col min="6663" max="6663" width="32.6640625" customWidth="1"/>
    <col min="6666" max="6666" width="19.5" customWidth="1"/>
    <col min="6913" max="6913" width="6.5" customWidth="1"/>
    <col min="6914" max="6914" width="35" customWidth="1"/>
    <col min="6915" max="6915" width="11" customWidth="1"/>
    <col min="6916" max="6916" width="11.1640625" customWidth="1"/>
    <col min="6917" max="6917" width="13.1640625" customWidth="1"/>
    <col min="6918" max="6918" width="16.33203125" customWidth="1"/>
    <col min="6919" max="6919" width="32.6640625" customWidth="1"/>
    <col min="6922" max="6922" width="19.5" customWidth="1"/>
    <col min="7169" max="7169" width="6.5" customWidth="1"/>
    <col min="7170" max="7170" width="35" customWidth="1"/>
    <col min="7171" max="7171" width="11" customWidth="1"/>
    <col min="7172" max="7172" width="11.1640625" customWidth="1"/>
    <col min="7173" max="7173" width="13.1640625" customWidth="1"/>
    <col min="7174" max="7174" width="16.33203125" customWidth="1"/>
    <col min="7175" max="7175" width="32.6640625" customWidth="1"/>
    <col min="7178" max="7178" width="19.5" customWidth="1"/>
    <col min="7425" max="7425" width="6.5" customWidth="1"/>
    <col min="7426" max="7426" width="35" customWidth="1"/>
    <col min="7427" max="7427" width="11" customWidth="1"/>
    <col min="7428" max="7428" width="11.1640625" customWidth="1"/>
    <col min="7429" max="7429" width="13.1640625" customWidth="1"/>
    <col min="7430" max="7430" width="16.33203125" customWidth="1"/>
    <col min="7431" max="7431" width="32.6640625" customWidth="1"/>
    <col min="7434" max="7434" width="19.5" customWidth="1"/>
    <col min="7681" max="7681" width="6.5" customWidth="1"/>
    <col min="7682" max="7682" width="35" customWidth="1"/>
    <col min="7683" max="7683" width="11" customWidth="1"/>
    <col min="7684" max="7684" width="11.1640625" customWidth="1"/>
    <col min="7685" max="7685" width="13.1640625" customWidth="1"/>
    <col min="7686" max="7686" width="16.33203125" customWidth="1"/>
    <col min="7687" max="7687" width="32.6640625" customWidth="1"/>
    <col min="7690" max="7690" width="19.5" customWidth="1"/>
    <col min="7937" max="7937" width="6.5" customWidth="1"/>
    <col min="7938" max="7938" width="35" customWidth="1"/>
    <col min="7939" max="7939" width="11" customWidth="1"/>
    <col min="7940" max="7940" width="11.1640625" customWidth="1"/>
    <col min="7941" max="7941" width="13.1640625" customWidth="1"/>
    <col min="7942" max="7942" width="16.33203125" customWidth="1"/>
    <col min="7943" max="7943" width="32.6640625" customWidth="1"/>
    <col min="7946" max="7946" width="19.5" customWidth="1"/>
    <col min="8193" max="8193" width="6.5" customWidth="1"/>
    <col min="8194" max="8194" width="35" customWidth="1"/>
    <col min="8195" max="8195" width="11" customWidth="1"/>
    <col min="8196" max="8196" width="11.1640625" customWidth="1"/>
    <col min="8197" max="8197" width="13.1640625" customWidth="1"/>
    <col min="8198" max="8198" width="16.33203125" customWidth="1"/>
    <col min="8199" max="8199" width="32.6640625" customWidth="1"/>
    <col min="8202" max="8202" width="19.5" customWidth="1"/>
    <col min="8449" max="8449" width="6.5" customWidth="1"/>
    <col min="8450" max="8450" width="35" customWidth="1"/>
    <col min="8451" max="8451" width="11" customWidth="1"/>
    <col min="8452" max="8452" width="11.1640625" customWidth="1"/>
    <col min="8453" max="8453" width="13.1640625" customWidth="1"/>
    <col min="8454" max="8454" width="16.33203125" customWidth="1"/>
    <col min="8455" max="8455" width="32.6640625" customWidth="1"/>
    <col min="8458" max="8458" width="19.5" customWidth="1"/>
    <col min="8705" max="8705" width="6.5" customWidth="1"/>
    <col min="8706" max="8706" width="35" customWidth="1"/>
    <col min="8707" max="8707" width="11" customWidth="1"/>
    <col min="8708" max="8708" width="11.1640625" customWidth="1"/>
    <col min="8709" max="8709" width="13.1640625" customWidth="1"/>
    <col min="8710" max="8710" width="16.33203125" customWidth="1"/>
    <col min="8711" max="8711" width="32.6640625" customWidth="1"/>
    <col min="8714" max="8714" width="19.5" customWidth="1"/>
    <col min="8961" max="8961" width="6.5" customWidth="1"/>
    <col min="8962" max="8962" width="35" customWidth="1"/>
    <col min="8963" max="8963" width="11" customWidth="1"/>
    <col min="8964" max="8964" width="11.1640625" customWidth="1"/>
    <col min="8965" max="8965" width="13.1640625" customWidth="1"/>
    <col min="8966" max="8966" width="16.33203125" customWidth="1"/>
    <col min="8967" max="8967" width="32.6640625" customWidth="1"/>
    <col min="8970" max="8970" width="19.5" customWidth="1"/>
    <col min="9217" max="9217" width="6.5" customWidth="1"/>
    <col min="9218" max="9218" width="35" customWidth="1"/>
    <col min="9219" max="9219" width="11" customWidth="1"/>
    <col min="9220" max="9220" width="11.1640625" customWidth="1"/>
    <col min="9221" max="9221" width="13.1640625" customWidth="1"/>
    <col min="9222" max="9222" width="16.33203125" customWidth="1"/>
    <col min="9223" max="9223" width="32.6640625" customWidth="1"/>
    <col min="9226" max="9226" width="19.5" customWidth="1"/>
    <col min="9473" max="9473" width="6.5" customWidth="1"/>
    <col min="9474" max="9474" width="35" customWidth="1"/>
    <col min="9475" max="9475" width="11" customWidth="1"/>
    <col min="9476" max="9476" width="11.1640625" customWidth="1"/>
    <col min="9477" max="9477" width="13.1640625" customWidth="1"/>
    <col min="9478" max="9478" width="16.33203125" customWidth="1"/>
    <col min="9479" max="9479" width="32.6640625" customWidth="1"/>
    <col min="9482" max="9482" width="19.5" customWidth="1"/>
    <col min="9729" max="9729" width="6.5" customWidth="1"/>
    <col min="9730" max="9730" width="35" customWidth="1"/>
    <col min="9731" max="9731" width="11" customWidth="1"/>
    <col min="9732" max="9732" width="11.1640625" customWidth="1"/>
    <col min="9733" max="9733" width="13.1640625" customWidth="1"/>
    <col min="9734" max="9734" width="16.33203125" customWidth="1"/>
    <col min="9735" max="9735" width="32.6640625" customWidth="1"/>
    <col min="9738" max="9738" width="19.5" customWidth="1"/>
    <col min="9985" max="9985" width="6.5" customWidth="1"/>
    <col min="9986" max="9986" width="35" customWidth="1"/>
    <col min="9987" max="9987" width="11" customWidth="1"/>
    <col min="9988" max="9988" width="11.1640625" customWidth="1"/>
    <col min="9989" max="9989" width="13.1640625" customWidth="1"/>
    <col min="9990" max="9990" width="16.33203125" customWidth="1"/>
    <col min="9991" max="9991" width="32.6640625" customWidth="1"/>
    <col min="9994" max="9994" width="19.5" customWidth="1"/>
    <col min="10241" max="10241" width="6.5" customWidth="1"/>
    <col min="10242" max="10242" width="35" customWidth="1"/>
    <col min="10243" max="10243" width="11" customWidth="1"/>
    <col min="10244" max="10244" width="11.1640625" customWidth="1"/>
    <col min="10245" max="10245" width="13.1640625" customWidth="1"/>
    <col min="10246" max="10246" width="16.33203125" customWidth="1"/>
    <col min="10247" max="10247" width="32.6640625" customWidth="1"/>
    <col min="10250" max="10250" width="19.5" customWidth="1"/>
    <col min="10497" max="10497" width="6.5" customWidth="1"/>
    <col min="10498" max="10498" width="35" customWidth="1"/>
    <col min="10499" max="10499" width="11" customWidth="1"/>
    <col min="10500" max="10500" width="11.1640625" customWidth="1"/>
    <col min="10501" max="10501" width="13.1640625" customWidth="1"/>
    <col min="10502" max="10502" width="16.33203125" customWidth="1"/>
    <col min="10503" max="10503" width="32.6640625" customWidth="1"/>
    <col min="10506" max="10506" width="19.5" customWidth="1"/>
    <col min="10753" max="10753" width="6.5" customWidth="1"/>
    <col min="10754" max="10754" width="35" customWidth="1"/>
    <col min="10755" max="10755" width="11" customWidth="1"/>
    <col min="10756" max="10756" width="11.1640625" customWidth="1"/>
    <col min="10757" max="10757" width="13.1640625" customWidth="1"/>
    <col min="10758" max="10758" width="16.33203125" customWidth="1"/>
    <col min="10759" max="10759" width="32.6640625" customWidth="1"/>
    <col min="10762" max="10762" width="19.5" customWidth="1"/>
    <col min="11009" max="11009" width="6.5" customWidth="1"/>
    <col min="11010" max="11010" width="35" customWidth="1"/>
    <col min="11011" max="11011" width="11" customWidth="1"/>
    <col min="11012" max="11012" width="11.1640625" customWidth="1"/>
    <col min="11013" max="11013" width="13.1640625" customWidth="1"/>
    <col min="11014" max="11014" width="16.33203125" customWidth="1"/>
    <col min="11015" max="11015" width="32.6640625" customWidth="1"/>
    <col min="11018" max="11018" width="19.5" customWidth="1"/>
    <col min="11265" max="11265" width="6.5" customWidth="1"/>
    <col min="11266" max="11266" width="35" customWidth="1"/>
    <col min="11267" max="11267" width="11" customWidth="1"/>
    <col min="11268" max="11268" width="11.1640625" customWidth="1"/>
    <col min="11269" max="11269" width="13.1640625" customWidth="1"/>
    <col min="11270" max="11270" width="16.33203125" customWidth="1"/>
    <col min="11271" max="11271" width="32.6640625" customWidth="1"/>
    <col min="11274" max="11274" width="19.5" customWidth="1"/>
    <col min="11521" max="11521" width="6.5" customWidth="1"/>
    <col min="11522" max="11522" width="35" customWidth="1"/>
    <col min="11523" max="11523" width="11" customWidth="1"/>
    <col min="11524" max="11524" width="11.1640625" customWidth="1"/>
    <col min="11525" max="11525" width="13.1640625" customWidth="1"/>
    <col min="11526" max="11526" width="16.33203125" customWidth="1"/>
    <col min="11527" max="11527" width="32.6640625" customWidth="1"/>
    <col min="11530" max="11530" width="19.5" customWidth="1"/>
    <col min="11777" max="11777" width="6.5" customWidth="1"/>
    <col min="11778" max="11778" width="35" customWidth="1"/>
    <col min="11779" max="11779" width="11" customWidth="1"/>
    <col min="11780" max="11780" width="11.1640625" customWidth="1"/>
    <col min="11781" max="11781" width="13.1640625" customWidth="1"/>
    <col min="11782" max="11782" width="16.33203125" customWidth="1"/>
    <col min="11783" max="11783" width="32.6640625" customWidth="1"/>
    <col min="11786" max="11786" width="19.5" customWidth="1"/>
    <col min="12033" max="12033" width="6.5" customWidth="1"/>
    <col min="12034" max="12034" width="35" customWidth="1"/>
    <col min="12035" max="12035" width="11" customWidth="1"/>
    <col min="12036" max="12036" width="11.1640625" customWidth="1"/>
    <col min="12037" max="12037" width="13.1640625" customWidth="1"/>
    <col min="12038" max="12038" width="16.33203125" customWidth="1"/>
    <col min="12039" max="12039" width="32.6640625" customWidth="1"/>
    <col min="12042" max="12042" width="19.5" customWidth="1"/>
    <col min="12289" max="12289" width="6.5" customWidth="1"/>
    <col min="12290" max="12290" width="35" customWidth="1"/>
    <col min="12291" max="12291" width="11" customWidth="1"/>
    <col min="12292" max="12292" width="11.1640625" customWidth="1"/>
    <col min="12293" max="12293" width="13.1640625" customWidth="1"/>
    <col min="12294" max="12294" width="16.33203125" customWidth="1"/>
    <col min="12295" max="12295" width="32.6640625" customWidth="1"/>
    <col min="12298" max="12298" width="19.5" customWidth="1"/>
    <col min="12545" max="12545" width="6.5" customWidth="1"/>
    <col min="12546" max="12546" width="35" customWidth="1"/>
    <col min="12547" max="12547" width="11" customWidth="1"/>
    <col min="12548" max="12548" width="11.1640625" customWidth="1"/>
    <col min="12549" max="12549" width="13.1640625" customWidth="1"/>
    <col min="12550" max="12550" width="16.33203125" customWidth="1"/>
    <col min="12551" max="12551" width="32.6640625" customWidth="1"/>
    <col min="12554" max="12554" width="19.5" customWidth="1"/>
    <col min="12801" max="12801" width="6.5" customWidth="1"/>
    <col min="12802" max="12802" width="35" customWidth="1"/>
    <col min="12803" max="12803" width="11" customWidth="1"/>
    <col min="12804" max="12804" width="11.1640625" customWidth="1"/>
    <col min="12805" max="12805" width="13.1640625" customWidth="1"/>
    <col min="12806" max="12806" width="16.33203125" customWidth="1"/>
    <col min="12807" max="12807" width="32.6640625" customWidth="1"/>
    <col min="12810" max="12810" width="19.5" customWidth="1"/>
    <col min="13057" max="13057" width="6.5" customWidth="1"/>
    <col min="13058" max="13058" width="35" customWidth="1"/>
    <col min="13059" max="13059" width="11" customWidth="1"/>
    <col min="13060" max="13060" width="11.1640625" customWidth="1"/>
    <col min="13061" max="13061" width="13.1640625" customWidth="1"/>
    <col min="13062" max="13062" width="16.33203125" customWidth="1"/>
    <col min="13063" max="13063" width="32.6640625" customWidth="1"/>
    <col min="13066" max="13066" width="19.5" customWidth="1"/>
    <col min="13313" max="13313" width="6.5" customWidth="1"/>
    <col min="13314" max="13314" width="35" customWidth="1"/>
    <col min="13315" max="13315" width="11" customWidth="1"/>
    <col min="13316" max="13316" width="11.1640625" customWidth="1"/>
    <col min="13317" max="13317" width="13.1640625" customWidth="1"/>
    <col min="13318" max="13318" width="16.33203125" customWidth="1"/>
    <col min="13319" max="13319" width="32.6640625" customWidth="1"/>
    <col min="13322" max="13322" width="19.5" customWidth="1"/>
    <col min="13569" max="13569" width="6.5" customWidth="1"/>
    <col min="13570" max="13570" width="35" customWidth="1"/>
    <col min="13571" max="13571" width="11" customWidth="1"/>
    <col min="13572" max="13572" width="11.1640625" customWidth="1"/>
    <col min="13573" max="13573" width="13.1640625" customWidth="1"/>
    <col min="13574" max="13574" width="16.33203125" customWidth="1"/>
    <col min="13575" max="13575" width="32.6640625" customWidth="1"/>
    <col min="13578" max="13578" width="19.5" customWidth="1"/>
    <col min="13825" max="13825" width="6.5" customWidth="1"/>
    <col min="13826" max="13826" width="35" customWidth="1"/>
    <col min="13827" max="13827" width="11" customWidth="1"/>
    <col min="13828" max="13828" width="11.1640625" customWidth="1"/>
    <col min="13829" max="13829" width="13.1640625" customWidth="1"/>
    <col min="13830" max="13830" width="16.33203125" customWidth="1"/>
    <col min="13831" max="13831" width="32.6640625" customWidth="1"/>
    <col min="13834" max="13834" width="19.5" customWidth="1"/>
    <col min="14081" max="14081" width="6.5" customWidth="1"/>
    <col min="14082" max="14082" width="35" customWidth="1"/>
    <col min="14083" max="14083" width="11" customWidth="1"/>
    <col min="14084" max="14084" width="11.1640625" customWidth="1"/>
    <col min="14085" max="14085" width="13.1640625" customWidth="1"/>
    <col min="14086" max="14086" width="16.33203125" customWidth="1"/>
    <col min="14087" max="14087" width="32.6640625" customWidth="1"/>
    <col min="14090" max="14090" width="19.5" customWidth="1"/>
    <col min="14337" max="14337" width="6.5" customWidth="1"/>
    <col min="14338" max="14338" width="35" customWidth="1"/>
    <col min="14339" max="14339" width="11" customWidth="1"/>
    <col min="14340" max="14340" width="11.1640625" customWidth="1"/>
    <col min="14341" max="14341" width="13.1640625" customWidth="1"/>
    <col min="14342" max="14342" width="16.33203125" customWidth="1"/>
    <col min="14343" max="14343" width="32.6640625" customWidth="1"/>
    <col min="14346" max="14346" width="19.5" customWidth="1"/>
    <col min="14593" max="14593" width="6.5" customWidth="1"/>
    <col min="14594" max="14594" width="35" customWidth="1"/>
    <col min="14595" max="14595" width="11" customWidth="1"/>
    <col min="14596" max="14596" width="11.1640625" customWidth="1"/>
    <col min="14597" max="14597" width="13.1640625" customWidth="1"/>
    <col min="14598" max="14598" width="16.33203125" customWidth="1"/>
    <col min="14599" max="14599" width="32.6640625" customWidth="1"/>
    <col min="14602" max="14602" width="19.5" customWidth="1"/>
    <col min="14849" max="14849" width="6.5" customWidth="1"/>
    <col min="14850" max="14850" width="35" customWidth="1"/>
    <col min="14851" max="14851" width="11" customWidth="1"/>
    <col min="14852" max="14852" width="11.1640625" customWidth="1"/>
    <col min="14853" max="14853" width="13.1640625" customWidth="1"/>
    <col min="14854" max="14854" width="16.33203125" customWidth="1"/>
    <col min="14855" max="14855" width="32.6640625" customWidth="1"/>
    <col min="14858" max="14858" width="19.5" customWidth="1"/>
    <col min="15105" max="15105" width="6.5" customWidth="1"/>
    <col min="15106" max="15106" width="35" customWidth="1"/>
    <col min="15107" max="15107" width="11" customWidth="1"/>
    <col min="15108" max="15108" width="11.1640625" customWidth="1"/>
    <col min="15109" max="15109" width="13.1640625" customWidth="1"/>
    <col min="15110" max="15110" width="16.33203125" customWidth="1"/>
    <col min="15111" max="15111" width="32.6640625" customWidth="1"/>
    <col min="15114" max="15114" width="19.5" customWidth="1"/>
    <col min="15361" max="15361" width="6.5" customWidth="1"/>
    <col min="15362" max="15362" width="35" customWidth="1"/>
    <col min="15363" max="15363" width="11" customWidth="1"/>
    <col min="15364" max="15364" width="11.1640625" customWidth="1"/>
    <col min="15365" max="15365" width="13.1640625" customWidth="1"/>
    <col min="15366" max="15366" width="16.33203125" customWidth="1"/>
    <col min="15367" max="15367" width="32.6640625" customWidth="1"/>
    <col min="15370" max="15370" width="19.5" customWidth="1"/>
    <col min="15617" max="15617" width="6.5" customWidth="1"/>
    <col min="15618" max="15618" width="35" customWidth="1"/>
    <col min="15619" max="15619" width="11" customWidth="1"/>
    <col min="15620" max="15620" width="11.1640625" customWidth="1"/>
    <col min="15621" max="15621" width="13.1640625" customWidth="1"/>
    <col min="15622" max="15622" width="16.33203125" customWidth="1"/>
    <col min="15623" max="15623" width="32.6640625" customWidth="1"/>
    <col min="15626" max="15626" width="19.5" customWidth="1"/>
    <col min="15873" max="15873" width="6.5" customWidth="1"/>
    <col min="15874" max="15874" width="35" customWidth="1"/>
    <col min="15875" max="15875" width="11" customWidth="1"/>
    <col min="15876" max="15876" width="11.1640625" customWidth="1"/>
    <col min="15877" max="15877" width="13.1640625" customWidth="1"/>
    <col min="15878" max="15878" width="16.33203125" customWidth="1"/>
    <col min="15879" max="15879" width="32.6640625" customWidth="1"/>
    <col min="15882" max="15882" width="19.5" customWidth="1"/>
    <col min="16129" max="16129" width="6.5" customWidth="1"/>
    <col min="16130" max="16130" width="35" customWidth="1"/>
    <col min="16131" max="16131" width="11" customWidth="1"/>
    <col min="16132" max="16132" width="11.1640625" customWidth="1"/>
    <col min="16133" max="16133" width="13.1640625" customWidth="1"/>
    <col min="16134" max="16134" width="16.33203125" customWidth="1"/>
    <col min="16135" max="16135" width="32.6640625" customWidth="1"/>
    <col min="16138" max="16138" width="19.5" customWidth="1"/>
  </cols>
  <sheetData>
    <row r="1" spans="1:8" ht="16">
      <c r="B1" s="1105" t="s">
        <v>3</v>
      </c>
      <c r="C1" s="2036"/>
      <c r="D1" s="2036"/>
      <c r="E1" s="2036"/>
      <c r="F1" s="2036"/>
      <c r="G1" s="2036"/>
      <c r="H1" s="746"/>
    </row>
    <row r="2" spans="1:8" ht="16">
      <c r="A2" s="371"/>
      <c r="B2" s="747" t="s">
        <v>1009</v>
      </c>
      <c r="C2" s="2036"/>
      <c r="D2" s="2036"/>
      <c r="E2" s="2036"/>
      <c r="F2" s="2036"/>
      <c r="G2" s="2036"/>
      <c r="H2" s="746"/>
    </row>
    <row r="3" spans="1:8" ht="16">
      <c r="B3" s="748"/>
      <c r="C3" s="372"/>
      <c r="D3" s="605"/>
      <c r="E3" s="605"/>
      <c r="F3" s="372"/>
      <c r="G3" s="1828" t="s">
        <v>1665</v>
      </c>
      <c r="H3" s="372"/>
    </row>
    <row r="4" spans="1:8" ht="18">
      <c r="A4" s="2037" t="s">
        <v>1107</v>
      </c>
      <c r="B4" s="2037"/>
      <c r="C4" s="2037"/>
      <c r="D4" s="2037"/>
      <c r="E4" s="2037"/>
      <c r="F4" s="2037"/>
      <c r="G4" s="2037"/>
      <c r="H4" s="749"/>
    </row>
    <row r="5" spans="1:8" s="588" customFormat="1" ht="16">
      <c r="A5" s="748"/>
      <c r="B5" s="748"/>
      <c r="C5" s="371" t="s">
        <v>1108</v>
      </c>
      <c r="F5" s="748"/>
      <c r="G5" s="748"/>
      <c r="H5" s="750"/>
    </row>
    <row r="6" spans="1:8" ht="18">
      <c r="A6" s="751"/>
      <c r="B6" s="751"/>
      <c r="C6" s="371" t="s">
        <v>1109</v>
      </c>
      <c r="D6" s="748"/>
      <c r="E6" s="751"/>
      <c r="F6" s="751"/>
      <c r="G6" s="751"/>
      <c r="H6" s="749"/>
    </row>
    <row r="7" spans="1:8" ht="17">
      <c r="A7" s="752" t="s">
        <v>0</v>
      </c>
      <c r="B7" s="753" t="s">
        <v>40</v>
      </c>
      <c r="C7" s="752" t="s">
        <v>1</v>
      </c>
      <c r="D7" s="752" t="s">
        <v>368</v>
      </c>
      <c r="E7" s="752" t="s">
        <v>27</v>
      </c>
      <c r="F7" s="752" t="s">
        <v>28</v>
      </c>
      <c r="G7" s="752" t="s">
        <v>1018</v>
      </c>
    </row>
    <row r="8" spans="1:8" s="756" customFormat="1" ht="17">
      <c r="A8" s="752">
        <v>1</v>
      </c>
      <c r="B8" s="2038" t="s">
        <v>1110</v>
      </c>
      <c r="C8" s="2039"/>
      <c r="D8" s="2039"/>
      <c r="E8" s="2039"/>
      <c r="F8" s="754">
        <f>SUM(F9:F12)</f>
        <v>1200000</v>
      </c>
      <c r="G8" s="755"/>
    </row>
    <row r="9" spans="1:8" s="756" customFormat="1" ht="17">
      <c r="A9" s="757" t="s">
        <v>122</v>
      </c>
      <c r="B9" s="758" t="s">
        <v>968</v>
      </c>
      <c r="C9" s="759" t="s">
        <v>985</v>
      </c>
      <c r="D9" s="760">
        <v>1</v>
      </c>
      <c r="E9" s="761">
        <v>200000</v>
      </c>
      <c r="F9" s="762">
        <f>D9*E9</f>
        <v>200000</v>
      </c>
      <c r="G9" s="763" t="s">
        <v>1111</v>
      </c>
    </row>
    <row r="10" spans="1:8" s="756" customFormat="1" ht="17">
      <c r="A10" s="759" t="s">
        <v>562</v>
      </c>
      <c r="B10" s="758" t="s">
        <v>1112</v>
      </c>
      <c r="C10" s="759" t="s">
        <v>985</v>
      </c>
      <c r="D10" s="760">
        <v>2</v>
      </c>
      <c r="E10" s="761">
        <v>100000</v>
      </c>
      <c r="F10" s="762">
        <f>D10*E10</f>
        <v>200000</v>
      </c>
      <c r="G10" s="763" t="s">
        <v>1111</v>
      </c>
    </row>
    <row r="11" spans="1:8" s="756" customFormat="1" ht="17">
      <c r="A11" s="757" t="s">
        <v>1113</v>
      </c>
      <c r="B11" s="758" t="s">
        <v>1114</v>
      </c>
      <c r="C11" s="759" t="s">
        <v>985</v>
      </c>
      <c r="D11" s="760">
        <v>2</v>
      </c>
      <c r="E11" s="761">
        <v>200000</v>
      </c>
      <c r="F11" s="762">
        <v>400000</v>
      </c>
      <c r="G11" s="763" t="s">
        <v>1111</v>
      </c>
    </row>
    <row r="12" spans="1:8" s="756" customFormat="1" ht="17">
      <c r="A12" s="759" t="s">
        <v>1115</v>
      </c>
      <c r="B12" s="758" t="s">
        <v>1116</v>
      </c>
      <c r="C12" s="759" t="s">
        <v>985</v>
      </c>
      <c r="D12" s="760">
        <v>4</v>
      </c>
      <c r="E12" s="761">
        <v>100000</v>
      </c>
      <c r="F12" s="762">
        <v>400000</v>
      </c>
      <c r="G12" s="763" t="s">
        <v>1111</v>
      </c>
    </row>
    <row r="13" spans="1:8" s="756" customFormat="1" ht="17">
      <c r="A13" s="752">
        <v>2</v>
      </c>
      <c r="B13" s="2038" t="s">
        <v>1117</v>
      </c>
      <c r="C13" s="2039"/>
      <c r="D13" s="2039"/>
      <c r="E13" s="2039"/>
      <c r="F13" s="764">
        <f>SUM(F14:F16)</f>
        <v>800000</v>
      </c>
      <c r="G13" s="765"/>
    </row>
    <row r="14" spans="1:8" s="756" customFormat="1" ht="17">
      <c r="A14" s="759" t="s">
        <v>129</v>
      </c>
      <c r="B14" s="758" t="s">
        <v>968</v>
      </c>
      <c r="C14" s="759" t="s">
        <v>985</v>
      </c>
      <c r="D14" s="760">
        <v>1</v>
      </c>
      <c r="E14" s="761">
        <v>200000</v>
      </c>
      <c r="F14" s="761">
        <v>200000</v>
      </c>
      <c r="G14" s="763" t="s">
        <v>1111</v>
      </c>
    </row>
    <row r="15" spans="1:8" s="756" customFormat="1" ht="17">
      <c r="A15" s="759" t="s">
        <v>130</v>
      </c>
      <c r="B15" s="758" t="s">
        <v>1112</v>
      </c>
      <c r="C15" s="759" t="s">
        <v>985</v>
      </c>
      <c r="D15" s="760">
        <v>2</v>
      </c>
      <c r="E15" s="761">
        <v>100000</v>
      </c>
      <c r="F15" s="762">
        <v>200000</v>
      </c>
      <c r="G15" s="763" t="s">
        <v>1111</v>
      </c>
    </row>
    <row r="16" spans="1:8" s="756" customFormat="1" ht="17">
      <c r="A16" s="759" t="s">
        <v>131</v>
      </c>
      <c r="B16" s="758" t="s">
        <v>1116</v>
      </c>
      <c r="C16" s="759" t="s">
        <v>985</v>
      </c>
      <c r="D16" s="760">
        <v>4</v>
      </c>
      <c r="E16" s="761">
        <v>100000</v>
      </c>
      <c r="F16" s="762">
        <v>400000</v>
      </c>
      <c r="G16" s="763" t="s">
        <v>1111</v>
      </c>
    </row>
    <row r="17" spans="1:7" s="756" customFormat="1" ht="17">
      <c r="A17" s="752">
        <v>3</v>
      </c>
      <c r="B17" s="2038" t="s">
        <v>1118</v>
      </c>
      <c r="C17" s="2039"/>
      <c r="D17" s="2039"/>
      <c r="E17" s="2039"/>
      <c r="F17" s="764">
        <f>SUM(F18:F21)</f>
        <v>1400000</v>
      </c>
      <c r="G17" s="765"/>
    </row>
    <row r="18" spans="1:7" s="756" customFormat="1" ht="17">
      <c r="A18" s="759" t="s">
        <v>1119</v>
      </c>
      <c r="B18" s="758" t="s">
        <v>1120</v>
      </c>
      <c r="C18" s="759" t="s">
        <v>1121</v>
      </c>
      <c r="D18" s="759">
        <v>1</v>
      </c>
      <c r="E18" s="761">
        <v>500000</v>
      </c>
      <c r="F18" s="761">
        <v>500000</v>
      </c>
      <c r="G18" s="763" t="s">
        <v>1111</v>
      </c>
    </row>
    <row r="19" spans="1:7" s="756" customFormat="1" ht="17">
      <c r="A19" s="759" t="s">
        <v>1122</v>
      </c>
      <c r="B19" s="758" t="s">
        <v>1123</v>
      </c>
      <c r="C19" s="759" t="s">
        <v>1121</v>
      </c>
      <c r="D19" s="759">
        <v>1</v>
      </c>
      <c r="E19" s="761">
        <v>400000</v>
      </c>
      <c r="F19" s="761">
        <v>400000</v>
      </c>
      <c r="G19" s="763" t="s">
        <v>1111</v>
      </c>
    </row>
    <row r="20" spans="1:7" s="756" customFormat="1" ht="17">
      <c r="A20" s="759" t="s">
        <v>1124</v>
      </c>
      <c r="B20" s="758" t="s">
        <v>1125</v>
      </c>
      <c r="C20" s="759" t="s">
        <v>1121</v>
      </c>
      <c r="D20" s="759">
        <v>1</v>
      </c>
      <c r="E20" s="761">
        <v>300000</v>
      </c>
      <c r="F20" s="761">
        <v>300000</v>
      </c>
      <c r="G20" s="763" t="s">
        <v>1111</v>
      </c>
    </row>
    <row r="21" spans="1:7" s="756" customFormat="1" ht="17">
      <c r="A21" s="759">
        <v>3.4</v>
      </c>
      <c r="B21" s="758" t="s">
        <v>1126</v>
      </c>
      <c r="C21" s="759" t="s">
        <v>1121</v>
      </c>
      <c r="D21" s="759">
        <v>1</v>
      </c>
      <c r="E21" s="761">
        <v>200000</v>
      </c>
      <c r="F21" s="761">
        <v>200000</v>
      </c>
      <c r="G21" s="763" t="s">
        <v>1111</v>
      </c>
    </row>
    <row r="22" spans="1:7" s="756" customFormat="1" ht="17">
      <c r="A22" s="752">
        <v>4</v>
      </c>
      <c r="B22" s="766" t="s">
        <v>1127</v>
      </c>
      <c r="C22" s="763"/>
      <c r="D22" s="767"/>
      <c r="E22" s="768"/>
      <c r="F22" s="764">
        <v>1600000</v>
      </c>
      <c r="G22" s="763"/>
    </row>
    <row r="23" spans="1:7" s="756" customFormat="1" ht="17">
      <c r="A23" s="769">
        <v>4.0999999999999996</v>
      </c>
      <c r="B23" s="770" t="s">
        <v>1128</v>
      </c>
      <c r="C23" s="771" t="s">
        <v>1129</v>
      </c>
      <c r="D23" s="772">
        <v>2</v>
      </c>
      <c r="E23" s="773">
        <v>500000</v>
      </c>
      <c r="F23" s="774">
        <v>1000000</v>
      </c>
      <c r="G23" s="763" t="s">
        <v>1111</v>
      </c>
    </row>
    <row r="24" spans="1:7" s="756" customFormat="1" ht="17">
      <c r="A24" s="769">
        <v>4.0999999999999996</v>
      </c>
      <c r="B24" s="770" t="s">
        <v>1130</v>
      </c>
      <c r="C24" s="771" t="s">
        <v>1129</v>
      </c>
      <c r="D24" s="772">
        <v>2</v>
      </c>
      <c r="E24" s="773">
        <v>500000</v>
      </c>
      <c r="F24" s="774">
        <v>1000000</v>
      </c>
      <c r="G24" s="763" t="s">
        <v>1111</v>
      </c>
    </row>
    <row r="25" spans="1:7" s="756" customFormat="1" ht="17">
      <c r="A25" s="752">
        <v>5</v>
      </c>
      <c r="B25" s="765" t="s">
        <v>1131</v>
      </c>
      <c r="C25" s="771" t="s">
        <v>1121</v>
      </c>
      <c r="D25" s="772">
        <v>4</v>
      </c>
      <c r="E25" s="773">
        <v>1000000</v>
      </c>
      <c r="F25" s="764">
        <v>4000000</v>
      </c>
      <c r="G25" s="763" t="s">
        <v>1111</v>
      </c>
    </row>
    <row r="26" spans="1:7" s="756" customFormat="1" ht="18" thickBot="1">
      <c r="A26" s="769">
        <v>6</v>
      </c>
      <c r="B26" s="775" t="s">
        <v>103</v>
      </c>
      <c r="C26" s="771"/>
      <c r="D26" s="772"/>
      <c r="E26" s="773"/>
      <c r="F26" s="764">
        <v>4160000</v>
      </c>
      <c r="G26" s="763"/>
    </row>
    <row r="27" spans="1:7" s="756" customFormat="1" ht="18" thickBot="1">
      <c r="A27" s="769">
        <v>6.1</v>
      </c>
      <c r="B27" s="776" t="s">
        <v>1132</v>
      </c>
      <c r="C27" s="771" t="s">
        <v>985</v>
      </c>
      <c r="D27" s="772">
        <v>10</v>
      </c>
      <c r="E27" s="773">
        <v>100000</v>
      </c>
      <c r="F27" s="774">
        <v>1000000</v>
      </c>
      <c r="G27" s="763" t="s">
        <v>1111</v>
      </c>
    </row>
    <row r="28" spans="1:7" s="756" customFormat="1" ht="17">
      <c r="A28" s="769">
        <v>6.2</v>
      </c>
      <c r="B28" s="777" t="s">
        <v>1133</v>
      </c>
      <c r="C28" s="771" t="s">
        <v>365</v>
      </c>
      <c r="D28" s="772">
        <v>30</v>
      </c>
      <c r="E28" s="773">
        <v>20</v>
      </c>
      <c r="F28" s="774">
        <v>600000</v>
      </c>
      <c r="G28" s="763" t="s">
        <v>1134</v>
      </c>
    </row>
    <row r="29" spans="1:7" s="756" customFormat="1" ht="17">
      <c r="A29" s="778">
        <v>6.3</v>
      </c>
      <c r="B29" s="779" t="s">
        <v>1135</v>
      </c>
      <c r="C29" s="780" t="s">
        <v>1136</v>
      </c>
      <c r="D29" s="772">
        <v>7</v>
      </c>
      <c r="E29" s="773">
        <v>50000</v>
      </c>
      <c r="F29" s="781">
        <v>350000</v>
      </c>
      <c r="G29" s="763" t="s">
        <v>1134</v>
      </c>
    </row>
    <row r="30" spans="1:7" s="756" customFormat="1" ht="17">
      <c r="A30" s="769">
        <v>6.4</v>
      </c>
      <c r="B30" s="779" t="s">
        <v>1137</v>
      </c>
      <c r="C30" s="780" t="s">
        <v>365</v>
      </c>
      <c r="D30" s="772">
        <v>1</v>
      </c>
      <c r="E30" s="773">
        <v>315000</v>
      </c>
      <c r="F30" s="773">
        <v>315000</v>
      </c>
      <c r="G30" s="763" t="s">
        <v>1134</v>
      </c>
    </row>
    <row r="31" spans="1:7" s="756" customFormat="1" ht="34">
      <c r="A31" s="778">
        <v>6.5</v>
      </c>
      <c r="B31" s="777" t="s">
        <v>1138</v>
      </c>
      <c r="C31" s="771" t="s">
        <v>985</v>
      </c>
      <c r="D31" s="772">
        <v>4</v>
      </c>
      <c r="E31" s="773">
        <v>50000</v>
      </c>
      <c r="F31" s="782">
        <v>200000</v>
      </c>
      <c r="G31" s="763" t="s">
        <v>1111</v>
      </c>
    </row>
    <row r="32" spans="1:7" s="756" customFormat="1" ht="17">
      <c r="A32" s="778">
        <v>6.6</v>
      </c>
      <c r="B32" s="779" t="s">
        <v>1139</v>
      </c>
      <c r="C32" s="780" t="s">
        <v>1140</v>
      </c>
      <c r="D32" s="772">
        <v>2</v>
      </c>
      <c r="E32" s="773">
        <v>97000</v>
      </c>
      <c r="F32" s="774">
        <v>195000</v>
      </c>
      <c r="G32" s="763" t="s">
        <v>1134</v>
      </c>
    </row>
    <row r="33" spans="1:7" s="756" customFormat="1" ht="17">
      <c r="A33" s="778">
        <v>6.7</v>
      </c>
      <c r="B33" s="779" t="s">
        <v>1141</v>
      </c>
      <c r="C33" s="780" t="s">
        <v>1142</v>
      </c>
      <c r="D33" s="778">
        <v>1</v>
      </c>
      <c r="E33" s="773"/>
      <c r="F33" s="774">
        <v>500000</v>
      </c>
      <c r="G33" s="763" t="s">
        <v>1134</v>
      </c>
    </row>
    <row r="34" spans="1:7" s="756" customFormat="1" ht="17">
      <c r="A34" s="772">
        <v>6.8</v>
      </c>
      <c r="B34" s="779" t="s">
        <v>1143</v>
      </c>
      <c r="C34" s="780" t="s">
        <v>365</v>
      </c>
      <c r="D34" s="772">
        <v>20</v>
      </c>
      <c r="E34" s="773">
        <v>30000</v>
      </c>
      <c r="F34" s="774">
        <v>600000</v>
      </c>
      <c r="G34" s="763" t="s">
        <v>1134</v>
      </c>
    </row>
    <row r="35" spans="1:7" s="756" customFormat="1" ht="17">
      <c r="A35" s="763">
        <v>6.9</v>
      </c>
      <c r="B35" s="783" t="s">
        <v>1144</v>
      </c>
      <c r="C35" s="780" t="s">
        <v>365</v>
      </c>
      <c r="D35" s="772">
        <v>4</v>
      </c>
      <c r="E35" s="773">
        <v>100000</v>
      </c>
      <c r="F35" s="774">
        <v>400000</v>
      </c>
      <c r="G35" s="763" t="s">
        <v>1134</v>
      </c>
    </row>
    <row r="36" spans="1:7" s="756" customFormat="1" ht="17">
      <c r="A36" s="772"/>
      <c r="B36" s="765" t="s">
        <v>350</v>
      </c>
      <c r="C36" s="784"/>
      <c r="D36" s="785"/>
      <c r="E36" s="785"/>
      <c r="F36" s="764">
        <v>13160000</v>
      </c>
      <c r="G36" s="763"/>
    </row>
    <row r="37" spans="1:7" s="756" customFormat="1" ht="18">
      <c r="A37" s="786"/>
      <c r="B37" s="787" t="s">
        <v>1145</v>
      </c>
      <c r="C37" s="788" t="s">
        <v>1146</v>
      </c>
      <c r="D37" s="788" t="s">
        <v>1147</v>
      </c>
      <c r="E37" s="788" t="s">
        <v>1148</v>
      </c>
      <c r="F37" s="789"/>
    </row>
    <row r="38" spans="1:7" s="792" customFormat="1" ht="17">
      <c r="A38" s="790"/>
      <c r="B38" s="791"/>
      <c r="C38" s="2035" t="s">
        <v>1149</v>
      </c>
      <c r="D38" s="2035"/>
      <c r="E38" s="2035"/>
      <c r="F38" s="2035"/>
      <c r="G38" s="2035"/>
    </row>
    <row r="39" spans="1:7" ht="16">
      <c r="B39" s="793" t="s">
        <v>1009</v>
      </c>
      <c r="D39" s="722"/>
      <c r="E39" s="722"/>
      <c r="F39" s="722" t="s">
        <v>1150</v>
      </c>
      <c r="G39" s="722"/>
    </row>
    <row r="42" spans="1:7" ht="16">
      <c r="A42" s="794"/>
      <c r="B42" s="722"/>
      <c r="C42" s="607"/>
      <c r="D42" s="722"/>
      <c r="E42" s="722"/>
      <c r="F42" s="722"/>
    </row>
    <row r="43" spans="1:7" ht="16">
      <c r="B43" s="722"/>
      <c r="C43" s="607"/>
      <c r="D43" s="722"/>
      <c r="E43" s="722"/>
      <c r="F43" s="722"/>
    </row>
    <row r="44" spans="1:7" ht="16">
      <c r="B44" s="722"/>
      <c r="C44" s="607"/>
      <c r="D44" s="722"/>
      <c r="E44" s="722"/>
      <c r="F44" s="722" t="s">
        <v>299</v>
      </c>
    </row>
    <row r="45" spans="1:7" ht="16">
      <c r="B45" s="795"/>
      <c r="C45" s="607"/>
      <c r="D45" s="722"/>
      <c r="E45" s="722"/>
      <c r="F45" s="722"/>
    </row>
    <row r="46" spans="1:7" ht="16">
      <c r="B46" s="607" t="s">
        <v>1151</v>
      </c>
      <c r="C46" s="722"/>
      <c r="D46" s="722" t="s">
        <v>1152</v>
      </c>
      <c r="E46" s="722"/>
      <c r="F46" s="722"/>
      <c r="G46" s="722" t="s">
        <v>1581</v>
      </c>
    </row>
  </sheetData>
  <mergeCells count="7">
    <mergeCell ref="C38:G38"/>
    <mergeCell ref="C1:G1"/>
    <mergeCell ref="C2:G2"/>
    <mergeCell ref="A4:G4"/>
    <mergeCell ref="B8:E8"/>
    <mergeCell ref="B13:E13"/>
    <mergeCell ref="B17:E17"/>
  </mergeCells>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35</vt:i4>
      </vt:variant>
      <vt:variant>
        <vt:lpstr>Named Ranges</vt:lpstr>
      </vt:variant>
      <vt:variant>
        <vt:i4>46</vt:i4>
      </vt:variant>
    </vt:vector>
  </HeadingPairs>
  <TitlesOfParts>
    <vt:vector size="81" baseType="lpstr">
      <vt:lpstr>Xac nhạn so lượng SV 2021</vt:lpstr>
      <vt:lpstr>Bieu1</vt:lpstr>
      <vt:lpstr>Bieu2</vt:lpstr>
      <vt:lpstr>Bieu2 GDTH</vt:lpstr>
      <vt:lpstr>Bieu2 GDMN</vt:lpstr>
      <vt:lpstr>Bieu2 QLGD</vt:lpstr>
      <vt:lpstr>Bieu2 TLH</vt:lpstr>
      <vt:lpstr>Bieu2 GDH</vt:lpstr>
      <vt:lpstr>Bieu2 các tổ</vt:lpstr>
      <vt:lpstr>Bieu3</vt:lpstr>
      <vt:lpstr>Bieu3 GDH</vt:lpstr>
      <vt:lpstr>Bieu3 TLH</vt:lpstr>
      <vt:lpstr>Bieu3 QLGD</vt:lpstr>
      <vt:lpstr>Bieu3 GDMN</vt:lpstr>
      <vt:lpstr>Bieu3 GDTH</vt:lpstr>
      <vt:lpstr>Bieu4</vt:lpstr>
      <vt:lpstr>Bieu5</vt:lpstr>
      <vt:lpstr>Bieu6</vt:lpstr>
      <vt:lpstr>Bieu 7 NCKH</vt:lpstr>
      <vt:lpstr>Biểu 7B Xuất bản</vt:lpstr>
      <vt:lpstr>Bieu 8</vt:lpstr>
      <vt:lpstr>Bieu 9</vt:lpstr>
      <vt:lpstr>Bieu 10</vt:lpstr>
      <vt:lpstr>Bieu11</vt:lpstr>
      <vt:lpstr>Bieu 12</vt:lpstr>
      <vt:lpstr>PL1 Tự DG GDMN</vt:lpstr>
      <vt:lpstr>PL2 Hội thi NVSP</vt:lpstr>
      <vt:lpstr>PL3 Hội thi rèn nghề</vt:lpstr>
      <vt:lpstr>PL4 Dự toán TTSP GDMN k58</vt:lpstr>
      <vt:lpstr>PL5 dự toán RLNVSP 1 GDMN</vt:lpstr>
      <vt:lpstr>PL6 Dự toán RLNVSP2 GDMN</vt:lpstr>
      <vt:lpstr>PL7 Dự toán HK1 RLNV GDTH</vt:lpstr>
      <vt:lpstr>PL8 Dự toán hk2 RLNVSP GDTH</vt:lpstr>
      <vt:lpstr>PL9 Dự toán TTSP GDTH</vt:lpstr>
      <vt:lpstr>PL10  hội thi VCĐ-GTN GDTH</vt:lpstr>
      <vt:lpstr>'Bieu 10'!Print_Area</vt:lpstr>
      <vt:lpstr>'Biểu 7B Xuất bản'!Print_Area</vt:lpstr>
      <vt:lpstr>'Bieu 8'!Print_Area</vt:lpstr>
      <vt:lpstr>'Bieu 9'!Print_Area</vt:lpstr>
      <vt:lpstr>Bieu1!Print_Area</vt:lpstr>
      <vt:lpstr>Bieu11!Print_Area</vt:lpstr>
      <vt:lpstr>Bieu2!Print_Area</vt:lpstr>
      <vt:lpstr>'Bieu2 các tổ'!Print_Area</vt:lpstr>
      <vt:lpstr>'Bieu2 GDH'!Print_Area</vt:lpstr>
      <vt:lpstr>'Bieu2 GDMN'!Print_Area</vt:lpstr>
      <vt:lpstr>'Bieu2 GDTH'!Print_Area</vt:lpstr>
      <vt:lpstr>'Bieu2 QLGD'!Print_Area</vt:lpstr>
      <vt:lpstr>'Bieu2 TLH'!Print_Area</vt:lpstr>
      <vt:lpstr>Bieu3!Print_Area</vt:lpstr>
      <vt:lpstr>'Bieu3 GDH'!Print_Area</vt:lpstr>
      <vt:lpstr>'Bieu3 GDMN'!Print_Area</vt:lpstr>
      <vt:lpstr>'Bieu3 GDTH'!Print_Area</vt:lpstr>
      <vt:lpstr>'Bieu3 QLGD'!Print_Area</vt:lpstr>
      <vt:lpstr>'Bieu3 TLH'!Print_Area</vt:lpstr>
      <vt:lpstr>Bieu4!Print_Area</vt:lpstr>
      <vt:lpstr>Bieu5!Print_Area</vt:lpstr>
      <vt:lpstr>Bieu6!Print_Area</vt:lpstr>
      <vt:lpstr>'PL1 Tự DG GDMN'!Print_Area</vt:lpstr>
      <vt:lpstr>'PL10  hội thi VCĐ-GTN GDTH'!Print_Area</vt:lpstr>
      <vt:lpstr>'PL2 Hội thi NVSP'!Print_Area</vt:lpstr>
      <vt:lpstr>'PL3 Hội thi rèn nghề'!Print_Area</vt:lpstr>
      <vt:lpstr>'PL5 dự toán RLNVSP 1 GDMN'!Print_Area</vt:lpstr>
      <vt:lpstr>'PL6 Dự toán RLNVSP2 GDMN'!Print_Area</vt:lpstr>
      <vt:lpstr>'PL8 Dự toán hk2 RLNVSP GDTH'!Print_Area</vt:lpstr>
      <vt:lpstr>'Bieu 12'!Print_Titles</vt:lpstr>
      <vt:lpstr>Bieu2!Print_Titles</vt:lpstr>
      <vt:lpstr>'Bieu2 các tổ'!Print_Titles</vt:lpstr>
      <vt:lpstr>'Bieu2 GDH'!Print_Titles</vt:lpstr>
      <vt:lpstr>'Bieu2 GDMN'!Print_Titles</vt:lpstr>
      <vt:lpstr>'Bieu2 GDTH'!Print_Titles</vt:lpstr>
      <vt:lpstr>'Bieu2 QLGD'!Print_Titles</vt:lpstr>
      <vt:lpstr>'Bieu2 TLH'!Print_Titles</vt:lpstr>
      <vt:lpstr>Bieu3!Print_Titles</vt:lpstr>
      <vt:lpstr>'Bieu3 GDH'!Print_Titles</vt:lpstr>
      <vt:lpstr>'Bieu3 GDMN'!Print_Titles</vt:lpstr>
      <vt:lpstr>'Bieu3 GDTH'!Print_Titles</vt:lpstr>
      <vt:lpstr>'Bieu3 QLGD'!Print_Titles</vt:lpstr>
      <vt:lpstr>'Bieu3 TLH'!Print_Titles</vt:lpstr>
      <vt:lpstr>Bieu4!Print_Titles</vt:lpstr>
      <vt:lpstr>Bieu5!Print_Titles</vt:lpstr>
      <vt:lpstr>Bieu6!Print_Titles</vt:lpstr>
    </vt:vector>
  </TitlesOfParts>
  <Company>DAPT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 Phuong</dc:creator>
  <cp:lastModifiedBy>Microsoft Office User</cp:lastModifiedBy>
  <cp:lastPrinted>2020-08-25T14:14:09Z</cp:lastPrinted>
  <dcterms:created xsi:type="dcterms:W3CDTF">2002-09-19T17:35:53Z</dcterms:created>
  <dcterms:modified xsi:type="dcterms:W3CDTF">2020-09-10T01:46:12Z</dcterms:modified>
</cp:coreProperties>
</file>