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19420" windowHeight="8900" firstSheet="19" activeTab="19"/>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2aLH" sheetId="34" r:id="rId8"/>
    <sheet name="2aLKT" sheetId="33" r:id="rId9"/>
    <sheet name="2aCTXH" sheetId="32" r:id="rId10"/>
    <sheet name="2aCT" sheetId="31" r:id="rId11"/>
    <sheet name="Bieu 2b DT THPT THSP" sheetId="8" state="hidden" r:id="rId12"/>
    <sheet name="Bieu 3a-Tong gio chuan chi tiet" sheetId="10" r:id="rId13"/>
    <sheet name="Bieu 3b tong hop Truong" sheetId="24" r:id="rId14"/>
    <sheet name="Bieu 4-KP thuc hanh thi nghiem" sheetId="12" r:id="rId15"/>
    <sheet name="4.a LH" sheetId="40" r:id="rId16"/>
    <sheet name="4.b LKT" sheetId="41" r:id="rId17"/>
    <sheet name="4c CTXH" sheetId="42" r:id="rId18"/>
    <sheet name="4D CT" sheetId="43" r:id="rId19"/>
    <sheet name="Bieu5-Nhu cau mua sam sua chua" sheetId="13" r:id="rId20"/>
    <sheet name="Bieu 6 P.TCCB update new" sheetId="21" r:id="rId21"/>
    <sheet name="Bieu7-ke hoach NCKH" sheetId="15" r:id="rId22"/>
    <sheet name="Bieu 7.1Bien soan GT" sheetId="44" r:id="rId23"/>
    <sheet name="Bieu8-Dao tao ngan han" sheetId="16" r:id="rId24"/>
    <sheet name="9a Tong thu DH va SDH" sheetId="28" r:id="rId25"/>
    <sheet name="9b Tong thu THPT THSP LHS" sheetId="29" state="hidden" r:id="rId26"/>
    <sheet name="Bieu 9b Tong thu dvi hanh chinh" sheetId="22" state="hidden" r:id="rId27"/>
    <sheet name="Bieu 10-Tong chi" sheetId="18" r:id="rId28"/>
    <sheet name="Bieu 11 Chenh lech thu chi" sheetId="19" r:id="rId29"/>
    <sheet name="Bieu so 12 Chi phi con nguoi" sheetId="20" r:id="rId30"/>
  </sheets>
  <externalReferences>
    <externalReference r:id="rId31"/>
  </externalReferences>
  <definedNames>
    <definedName name="_xlnm.Print_Area" localSheetId="10">'2aCT'!$A$1:$R$130</definedName>
    <definedName name="_xlnm.Print_Area" localSheetId="9">'2aCTXH'!$A$1:$R$123</definedName>
    <definedName name="_xlnm.Print_Area" localSheetId="7">'2aLH'!$A$1:$R$94</definedName>
    <definedName name="_xlnm.Print_Area" localSheetId="8">'2aLKT'!$A$1:$R$91</definedName>
    <definedName name="_xlnm.Print_Area" localSheetId="15">'4.a LH'!$A$1:$I$33</definedName>
    <definedName name="_xlnm.Print_Area" localSheetId="16">'4.b LKT'!$A$1:$I$30</definedName>
    <definedName name="_xlnm.Print_Area" localSheetId="17">'4c CTXH'!$A$1:$I$32</definedName>
    <definedName name="_xlnm.Print_Area" localSheetId="18">'4D CT'!$A$1:$I$33</definedName>
    <definedName name="_xlnm.Print_Area" localSheetId="24">'9a Tong thu DH va SDH'!$A$1:$O$17</definedName>
    <definedName name="_xlnm.Print_Area" localSheetId="27">'Bieu 10-Tong chi'!$A$1:$D$52</definedName>
    <definedName name="_xlnm.Print_Area" localSheetId="28">'Bieu 11 Chenh lech thu chi'!$A$1:$D$23</definedName>
    <definedName name="_xlnm.Print_Area" localSheetId="1">'Bieu 1a DH Chinh quy'!$A$1:$L$114</definedName>
    <definedName name="_xlnm.Print_Area" localSheetId="2">'Bieu 1b Sau dai hoc'!$A$1:$L$96</definedName>
    <definedName name="_xlnm.Print_Area" localSheetId="3">'Bieu 1c VLVH - TX'!$A$1:$L$85</definedName>
    <definedName name="_xlnm.Print_Area" localSheetId="4">'Bieu 1d THPT'!$A$1:$L$40</definedName>
    <definedName name="_xlnm.Print_Area" localSheetId="5">'Bieu 1e THSP'!$A$1:$L$67</definedName>
    <definedName name="_xlnm.Print_Area" localSheetId="6">'Bieu 2a DH va tren DH'!$A$1:$R$66</definedName>
    <definedName name="_xlnm.Print_Area" localSheetId="11">'Bieu 2b DT THPT THSP'!$A$1:$M$58</definedName>
    <definedName name="_xlnm.Print_Area" localSheetId="12">'Bieu 3a-Tong gio chuan chi tiet'!$A$1:$P$86</definedName>
    <definedName name="_xlnm.Print_Area" localSheetId="13">'Bieu 3b tong hop Truong'!$A$1:$P$18</definedName>
    <definedName name="_xlnm.Print_Area" localSheetId="14">'Bieu 4-KP thuc hanh thi nghiem'!$A$1:$I$32</definedName>
    <definedName name="_xlnm.Print_Area" localSheetId="20">'Bieu 6 P.TCCB update new'!$A$3:$N$75</definedName>
    <definedName name="_xlnm.Print_Area" localSheetId="26">'Bieu 9b Tong thu dvi hanh chinh'!$A$1:$F$27</definedName>
    <definedName name="_xlnm.Print_Area" localSheetId="19">'Bieu5-Nhu cau mua sam sua chua'!$A$1:$I$81</definedName>
    <definedName name="_xlnm.Print_Area" localSheetId="21">'Bieu7-ke hoach NCKH'!$A$1:$F$58</definedName>
    <definedName name="_xlnm.Print_Area" localSheetId="23">'Bieu8-Dao tao ngan han'!$A$1:$G$32</definedName>
    <definedName name="_xlnm.Print_Area" localSheetId="0">'Danh muc bieu'!$A$1:$E$25</definedName>
    <definedName name="_xlnm.Print_Titles" localSheetId="27">'Bieu 10-Tong chi'!$6:$6</definedName>
    <definedName name="_xlnm.Print_Titles" localSheetId="1">'Bieu 1a DH Chinh quy'!$5:$5</definedName>
    <definedName name="_xlnm.Print_Titles" localSheetId="2">'Bieu 1b Sau dai hoc'!$5:$5</definedName>
    <definedName name="_xlnm.Print_Titles" localSheetId="3">'Bieu 1c VLVH - TX'!$5:$5</definedName>
    <definedName name="_xlnm.Print_Titles" localSheetId="5">'Bieu 1e THSP'!$5:$5</definedName>
    <definedName name="_xlnm.Print_Titles" localSheetId="6">'Bieu 2a DH va tren DH'!$7:$9</definedName>
    <definedName name="_xlnm.Print_Titles" localSheetId="11">'Bieu 2b DT THPT THSP'!$7:$9</definedName>
    <definedName name="_xlnm.Print_Titles" localSheetId="13">'Bieu 3b tong hop Truong'!$5:$7</definedName>
    <definedName name="_xlnm.Print_Titles" localSheetId="21">'Bieu7-ke hoach NCKH'!$5:$5</definedName>
    <definedName name="_xlnm.Print_Titles" localSheetId="0">'Danh muc bieu'!$5:$5</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23" i="1" l="1"/>
  <c r="K56" i="1"/>
  <c r="F56" i="1"/>
  <c r="K61" i="1"/>
  <c r="F61" i="1"/>
  <c r="K24" i="1"/>
  <c r="J24" i="1"/>
  <c r="F24" i="1"/>
  <c r="K15" i="1"/>
  <c r="J15" i="1"/>
  <c r="F15" i="1"/>
  <c r="K8" i="1"/>
  <c r="J8" i="1"/>
  <c r="F8" i="1"/>
  <c r="D51" i="15" l="1"/>
  <c r="H19" i="43" l="1"/>
  <c r="H18" i="43"/>
  <c r="H17" i="43"/>
  <c r="H18" i="40"/>
  <c r="H17" i="40"/>
  <c r="L55" i="33" l="1"/>
  <c r="K55" i="33"/>
  <c r="K54" i="33" l="1"/>
  <c r="K53" i="33" s="1"/>
  <c r="L63" i="33"/>
  <c r="L54" i="33" s="1"/>
  <c r="L53" i="33" s="1"/>
  <c r="D20" i="7" l="1"/>
  <c r="D19" i="7" s="1"/>
  <c r="F20" i="7"/>
  <c r="G20" i="7"/>
  <c r="G19" i="7" s="1"/>
  <c r="L99" i="31"/>
  <c r="I111" i="31"/>
  <c r="H111" i="31"/>
  <c r="K69" i="31"/>
  <c r="J69" i="31"/>
  <c r="K47" i="31"/>
  <c r="C91" i="31"/>
  <c r="C85" i="31"/>
  <c r="J77" i="31"/>
  <c r="K77" i="31"/>
  <c r="L77" i="31"/>
  <c r="E77" i="31"/>
  <c r="C77" i="31"/>
  <c r="E28" i="31"/>
  <c r="J28" i="31"/>
  <c r="K28" i="31"/>
  <c r="L28" i="31"/>
  <c r="E23" i="31"/>
  <c r="E24" i="31"/>
  <c r="C24" i="31"/>
  <c r="D42" i="7"/>
  <c r="F42" i="7"/>
  <c r="G42" i="7"/>
  <c r="D43" i="7"/>
  <c r="F43" i="7"/>
  <c r="G43" i="7"/>
  <c r="E64" i="34"/>
  <c r="E43" i="7" s="1"/>
  <c r="C64" i="34"/>
  <c r="C43" i="7" s="1"/>
  <c r="C55" i="34"/>
  <c r="C42" i="7" s="1"/>
  <c r="E40" i="34"/>
  <c r="E39" i="34" s="1"/>
  <c r="G40" i="34"/>
  <c r="G39" i="34" s="1"/>
  <c r="G38" i="34" s="1"/>
  <c r="K40" i="34"/>
  <c r="K39" i="34" s="1"/>
  <c r="L40" i="34"/>
  <c r="L39" i="34" s="1"/>
  <c r="D15" i="7"/>
  <c r="F15" i="7"/>
  <c r="G15" i="7"/>
  <c r="L15" i="7"/>
  <c r="D14" i="7"/>
  <c r="D13" i="7" s="1"/>
  <c r="F14" i="7"/>
  <c r="F13" i="7" s="1"/>
  <c r="G14" i="7"/>
  <c r="G13" i="7" s="1"/>
  <c r="D10" i="34"/>
  <c r="F10" i="34"/>
  <c r="G10" i="34"/>
  <c r="E13" i="34"/>
  <c r="K13" i="34"/>
  <c r="K14" i="7" s="1"/>
  <c r="L13" i="34"/>
  <c r="L14" i="7" s="1"/>
  <c r="L13" i="7" s="1"/>
  <c r="C13" i="34"/>
  <c r="C14" i="7" s="1"/>
  <c r="K13" i="33"/>
  <c r="K12" i="33" s="1"/>
  <c r="L13" i="33"/>
  <c r="L12" i="33" s="1"/>
  <c r="K85" i="31"/>
  <c r="K23" i="31" s="1"/>
  <c r="L85" i="31"/>
  <c r="C23" i="31"/>
  <c r="D16" i="7"/>
  <c r="F16" i="7"/>
  <c r="G16" i="7"/>
  <c r="F19" i="7"/>
  <c r="D22" i="7"/>
  <c r="F22" i="7"/>
  <c r="G22" i="7"/>
  <c r="D26" i="7"/>
  <c r="F26" i="7"/>
  <c r="G26" i="7"/>
  <c r="D29" i="7"/>
  <c r="F29" i="7"/>
  <c r="G29" i="7"/>
  <c r="D32" i="7"/>
  <c r="F32" i="7"/>
  <c r="G32" i="7"/>
  <c r="D35" i="7"/>
  <c r="F35" i="7"/>
  <c r="G35" i="7"/>
  <c r="D53" i="7"/>
  <c r="F53" i="7"/>
  <c r="G53" i="7"/>
  <c r="D40" i="7"/>
  <c r="F40" i="7"/>
  <c r="G40" i="7"/>
  <c r="K14" i="32"/>
  <c r="L14" i="32"/>
  <c r="K26" i="34"/>
  <c r="K15" i="7" s="1"/>
  <c r="C34" i="18"/>
  <c r="N15" i="44"/>
  <c r="F21" i="44"/>
  <c r="C35" i="18"/>
  <c r="H21" i="43"/>
  <c r="F14" i="10"/>
  <c r="G14" i="10"/>
  <c r="E14" i="10"/>
  <c r="D97" i="32"/>
  <c r="D96" i="32" s="1"/>
  <c r="F97" i="32"/>
  <c r="F96" i="32" s="1"/>
  <c r="G97" i="32"/>
  <c r="G96" i="32" s="1"/>
  <c r="E113" i="32"/>
  <c r="E52" i="7" s="1"/>
  <c r="K113" i="32"/>
  <c r="K52" i="7" s="1"/>
  <c r="L113" i="32"/>
  <c r="L52" i="7" s="1"/>
  <c r="E98" i="32"/>
  <c r="E51" i="7" s="1"/>
  <c r="K98" i="32"/>
  <c r="K51" i="7" s="1"/>
  <c r="L98" i="32"/>
  <c r="L51" i="7" s="1"/>
  <c r="C113" i="32"/>
  <c r="C52" i="7" s="1"/>
  <c r="C98" i="32"/>
  <c r="C51" i="7" s="1"/>
  <c r="D92" i="32"/>
  <c r="E92" i="32"/>
  <c r="E37" i="7" s="1"/>
  <c r="F92" i="32"/>
  <c r="G92" i="32"/>
  <c r="K92" i="32"/>
  <c r="K37" i="7" s="1"/>
  <c r="L92" i="32"/>
  <c r="L37" i="7" s="1"/>
  <c r="C92" i="32"/>
  <c r="C37" i="7" s="1"/>
  <c r="D90" i="32"/>
  <c r="E90" i="32"/>
  <c r="E36" i="7" s="1"/>
  <c r="F90" i="32"/>
  <c r="G90" i="32"/>
  <c r="G89" i="32" s="1"/>
  <c r="I90" i="32"/>
  <c r="J90" i="32"/>
  <c r="K90" i="32"/>
  <c r="L90" i="32"/>
  <c r="C90" i="32"/>
  <c r="C36" i="7" s="1"/>
  <c r="H91" i="32"/>
  <c r="H90" i="32" s="1"/>
  <c r="H36" i="7" s="1"/>
  <c r="E83" i="32"/>
  <c r="K83" i="32"/>
  <c r="L83" i="32"/>
  <c r="C83" i="32"/>
  <c r="E54" i="32"/>
  <c r="K54" i="32"/>
  <c r="L54" i="32"/>
  <c r="L53" i="32" s="1"/>
  <c r="L24" i="7" s="1"/>
  <c r="C54" i="32"/>
  <c r="C53" i="32" s="1"/>
  <c r="C24" i="7" s="1"/>
  <c r="E46" i="32"/>
  <c r="K46" i="32"/>
  <c r="L46" i="32"/>
  <c r="E14" i="32"/>
  <c r="C46" i="32"/>
  <c r="C14" i="32"/>
  <c r="I117" i="32"/>
  <c r="J117" i="32" s="1"/>
  <c r="H117" i="32"/>
  <c r="I116" i="32"/>
  <c r="J116" i="32" s="1"/>
  <c r="H116" i="32"/>
  <c r="I115" i="32"/>
  <c r="H115" i="32"/>
  <c r="I114" i="32"/>
  <c r="J114" i="32" s="1"/>
  <c r="H114" i="32"/>
  <c r="I112" i="32"/>
  <c r="J112" i="32" s="1"/>
  <c r="H112" i="32"/>
  <c r="I111" i="32"/>
  <c r="J111" i="32" s="1"/>
  <c r="H111" i="32"/>
  <c r="I110" i="32"/>
  <c r="J110" i="32" s="1"/>
  <c r="H110" i="32"/>
  <c r="I109" i="32"/>
  <c r="J109" i="32" s="1"/>
  <c r="H109" i="32"/>
  <c r="I108" i="32"/>
  <c r="J108" i="32" s="1"/>
  <c r="H108" i="32"/>
  <c r="I107" i="32"/>
  <c r="J107" i="32" s="1"/>
  <c r="H107" i="32"/>
  <c r="I106" i="32"/>
  <c r="J106" i="32" s="1"/>
  <c r="H106" i="32"/>
  <c r="I105" i="32"/>
  <c r="J105" i="32" s="1"/>
  <c r="H105" i="32"/>
  <c r="I104" i="32"/>
  <c r="J104" i="32" s="1"/>
  <c r="H104" i="32"/>
  <c r="I103" i="32"/>
  <c r="J103" i="32" s="1"/>
  <c r="H103" i="32"/>
  <c r="I102" i="32"/>
  <c r="J102" i="32" s="1"/>
  <c r="H102" i="32"/>
  <c r="I101" i="32"/>
  <c r="J101" i="32" s="1"/>
  <c r="H101" i="32"/>
  <c r="I100" i="32"/>
  <c r="J100" i="32" s="1"/>
  <c r="H100" i="32"/>
  <c r="I99" i="32"/>
  <c r="H99" i="32"/>
  <c r="I95" i="32"/>
  <c r="J95" i="32" s="1"/>
  <c r="H95" i="32"/>
  <c r="I94" i="32"/>
  <c r="J94" i="32" s="1"/>
  <c r="H94" i="32"/>
  <c r="I93" i="32"/>
  <c r="H93" i="32"/>
  <c r="I52" i="32"/>
  <c r="J52" i="32" s="1"/>
  <c r="H52" i="32"/>
  <c r="I51" i="32"/>
  <c r="J51" i="32" s="1"/>
  <c r="H51" i="32"/>
  <c r="I50" i="32"/>
  <c r="J50" i="32" s="1"/>
  <c r="H50" i="32"/>
  <c r="I49" i="32"/>
  <c r="J49" i="32" s="1"/>
  <c r="H49" i="32"/>
  <c r="I48" i="32"/>
  <c r="H48" i="32"/>
  <c r="I47" i="32"/>
  <c r="J47" i="32" s="1"/>
  <c r="H47" i="32"/>
  <c r="I81" i="32"/>
  <c r="J81" i="32" s="1"/>
  <c r="H81" i="32"/>
  <c r="I80" i="32"/>
  <c r="J80" i="32" s="1"/>
  <c r="H80" i="32"/>
  <c r="I79" i="32"/>
  <c r="J79" i="32" s="1"/>
  <c r="H79" i="32"/>
  <c r="I78" i="32"/>
  <c r="J78" i="32" s="1"/>
  <c r="H78" i="32"/>
  <c r="I77" i="32"/>
  <c r="J77" i="32" s="1"/>
  <c r="H77" i="32"/>
  <c r="I76" i="32"/>
  <c r="J76" i="32" s="1"/>
  <c r="H76" i="32"/>
  <c r="I75" i="32"/>
  <c r="J75" i="32" s="1"/>
  <c r="H75" i="32"/>
  <c r="I74" i="32"/>
  <c r="J74" i="32" s="1"/>
  <c r="H74" i="32"/>
  <c r="I73" i="32"/>
  <c r="J73" i="32" s="1"/>
  <c r="H73" i="32"/>
  <c r="I72" i="32"/>
  <c r="J72" i="32" s="1"/>
  <c r="H72" i="32"/>
  <c r="I71" i="32"/>
  <c r="J71" i="32" s="1"/>
  <c r="H71" i="32"/>
  <c r="I70" i="32"/>
  <c r="J70" i="32" s="1"/>
  <c r="H70" i="32"/>
  <c r="I69" i="32"/>
  <c r="J69" i="32" s="1"/>
  <c r="H69" i="32"/>
  <c r="I68" i="32"/>
  <c r="J68" i="32" s="1"/>
  <c r="H68" i="32"/>
  <c r="I67" i="32"/>
  <c r="J67" i="32" s="1"/>
  <c r="H67" i="32"/>
  <c r="I66" i="32"/>
  <c r="J66" i="32" s="1"/>
  <c r="H66" i="32"/>
  <c r="I65" i="32"/>
  <c r="J65" i="32" s="1"/>
  <c r="H65" i="32"/>
  <c r="I64" i="32"/>
  <c r="J64" i="32" s="1"/>
  <c r="H64" i="32"/>
  <c r="I63" i="32"/>
  <c r="J63" i="32" s="1"/>
  <c r="H63" i="32"/>
  <c r="I62" i="32"/>
  <c r="J62" i="32" s="1"/>
  <c r="H62" i="32"/>
  <c r="I61" i="32"/>
  <c r="J61" i="32" s="1"/>
  <c r="H61" i="32"/>
  <c r="I60" i="32"/>
  <c r="J60" i="32" s="1"/>
  <c r="H60" i="32"/>
  <c r="I59" i="32"/>
  <c r="J59" i="32" s="1"/>
  <c r="H59" i="32"/>
  <c r="I58" i="32"/>
  <c r="J58" i="32" s="1"/>
  <c r="H58" i="32"/>
  <c r="I57" i="32"/>
  <c r="J57" i="32" s="1"/>
  <c r="H57" i="32"/>
  <c r="I56" i="32"/>
  <c r="J56" i="32" s="1"/>
  <c r="H56" i="32"/>
  <c r="I55" i="32"/>
  <c r="J55" i="32" s="1"/>
  <c r="H55" i="32"/>
  <c r="I45" i="32"/>
  <c r="J45" i="32" s="1"/>
  <c r="H45" i="32"/>
  <c r="I44" i="32"/>
  <c r="J44" i="32" s="1"/>
  <c r="H44" i="32"/>
  <c r="I43" i="32"/>
  <c r="J43" i="32" s="1"/>
  <c r="H43" i="32"/>
  <c r="I42" i="32"/>
  <c r="J42" i="32" s="1"/>
  <c r="H42" i="32"/>
  <c r="I41" i="32"/>
  <c r="J41" i="32" s="1"/>
  <c r="H41" i="32"/>
  <c r="I40" i="32"/>
  <c r="J40" i="32" s="1"/>
  <c r="H40" i="32"/>
  <c r="I39" i="32"/>
  <c r="J39" i="32" s="1"/>
  <c r="H39" i="32"/>
  <c r="I38" i="32"/>
  <c r="J38" i="32" s="1"/>
  <c r="H38" i="32"/>
  <c r="I37" i="32"/>
  <c r="J37" i="32" s="1"/>
  <c r="H37" i="32"/>
  <c r="I36" i="32"/>
  <c r="J36" i="32" s="1"/>
  <c r="H36" i="32"/>
  <c r="I35" i="32"/>
  <c r="J35" i="32" s="1"/>
  <c r="H35" i="32"/>
  <c r="I34" i="32"/>
  <c r="J34" i="32" s="1"/>
  <c r="H34" i="32"/>
  <c r="I33" i="32"/>
  <c r="J33" i="32" s="1"/>
  <c r="H33" i="32"/>
  <c r="I32" i="32"/>
  <c r="J32" i="32" s="1"/>
  <c r="H32" i="32"/>
  <c r="I31" i="32"/>
  <c r="J31" i="32" s="1"/>
  <c r="H31" i="32"/>
  <c r="I30" i="32"/>
  <c r="J30" i="32" s="1"/>
  <c r="H30" i="32"/>
  <c r="I29" i="32"/>
  <c r="J29" i="32" s="1"/>
  <c r="H29" i="32"/>
  <c r="I28" i="32"/>
  <c r="J28" i="32" s="1"/>
  <c r="H28" i="32"/>
  <c r="I27" i="32"/>
  <c r="J27" i="32" s="1"/>
  <c r="H27" i="32"/>
  <c r="I26" i="32"/>
  <c r="J26" i="32" s="1"/>
  <c r="H26" i="32"/>
  <c r="I25" i="32"/>
  <c r="J25" i="32" s="1"/>
  <c r="H25" i="32"/>
  <c r="I24" i="32"/>
  <c r="J24" i="32" s="1"/>
  <c r="H24" i="32"/>
  <c r="I23" i="32"/>
  <c r="J23" i="32" s="1"/>
  <c r="H23" i="32"/>
  <c r="I22" i="32"/>
  <c r="J22" i="32" s="1"/>
  <c r="H22" i="32"/>
  <c r="I21" i="32"/>
  <c r="J21" i="32" s="1"/>
  <c r="H21" i="32"/>
  <c r="I20" i="32"/>
  <c r="J20" i="32" s="1"/>
  <c r="H20" i="32"/>
  <c r="I19" i="32"/>
  <c r="J19" i="32" s="1"/>
  <c r="H19" i="32"/>
  <c r="I18" i="32"/>
  <c r="J18" i="32" s="1"/>
  <c r="H18" i="32"/>
  <c r="I17" i="32"/>
  <c r="J17" i="32" s="1"/>
  <c r="H17" i="32"/>
  <c r="I16" i="32"/>
  <c r="J16" i="32" s="1"/>
  <c r="H16" i="32"/>
  <c r="I15" i="32"/>
  <c r="H15" i="32"/>
  <c r="C84" i="31" l="1"/>
  <c r="G39" i="7"/>
  <c r="J68" i="31"/>
  <c r="J67" i="31" s="1"/>
  <c r="K68" i="31"/>
  <c r="K67" i="31" s="1"/>
  <c r="L13" i="32"/>
  <c r="L12" i="32" s="1"/>
  <c r="H14" i="32"/>
  <c r="I14" i="32"/>
  <c r="D89" i="32"/>
  <c r="K89" i="32"/>
  <c r="K13" i="32"/>
  <c r="C35" i="7"/>
  <c r="E50" i="7"/>
  <c r="F39" i="7"/>
  <c r="D39" i="7"/>
  <c r="D25" i="7"/>
  <c r="F12" i="7"/>
  <c r="E35" i="7"/>
  <c r="K13" i="7"/>
  <c r="G25" i="7"/>
  <c r="F25" i="7"/>
  <c r="E89" i="32"/>
  <c r="L12" i="34"/>
  <c r="E14" i="7"/>
  <c r="L89" i="32"/>
  <c r="K12" i="34"/>
  <c r="H98" i="32"/>
  <c r="H51" i="7" s="1"/>
  <c r="M13" i="7"/>
  <c r="L23" i="31"/>
  <c r="F89" i="32"/>
  <c r="D12" i="7"/>
  <c r="G12" i="7"/>
  <c r="F11" i="7"/>
  <c r="H113" i="32"/>
  <c r="H52" i="7" s="1"/>
  <c r="K50" i="7"/>
  <c r="C97" i="32"/>
  <c r="C96" i="32" s="1"/>
  <c r="L36" i="7"/>
  <c r="L35" i="7" s="1"/>
  <c r="K53" i="32"/>
  <c r="K24" i="7" s="1"/>
  <c r="C50" i="7"/>
  <c r="E53" i="32"/>
  <c r="E24" i="7" s="1"/>
  <c r="I98" i="32"/>
  <c r="I51" i="7" s="1"/>
  <c r="K97" i="32"/>
  <c r="K96" i="32" s="1"/>
  <c r="E97" i="32"/>
  <c r="E96" i="32" s="1"/>
  <c r="L50" i="7"/>
  <c r="L97" i="32"/>
  <c r="L96" i="32" s="1"/>
  <c r="K36" i="7"/>
  <c r="K35" i="7" s="1"/>
  <c r="J36" i="7"/>
  <c r="C89" i="32"/>
  <c r="I36" i="7"/>
  <c r="I113" i="32"/>
  <c r="I52" i="7" s="1"/>
  <c r="C13" i="32"/>
  <c r="H92" i="32"/>
  <c r="I92" i="32"/>
  <c r="I37" i="7" s="1"/>
  <c r="E13" i="32"/>
  <c r="J54" i="32"/>
  <c r="I54" i="32"/>
  <c r="H54" i="32"/>
  <c r="H46" i="32"/>
  <c r="I46" i="32"/>
  <c r="J15" i="32"/>
  <c r="J14" i="32" s="1"/>
  <c r="J99" i="32"/>
  <c r="J98" i="32" s="1"/>
  <c r="J48" i="32"/>
  <c r="J115" i="32"/>
  <c r="J113" i="32" s="1"/>
  <c r="J52" i="7" s="1"/>
  <c r="J93" i="32"/>
  <c r="J92" i="32" s="1"/>
  <c r="J37" i="7" s="1"/>
  <c r="F10" i="7" l="1"/>
  <c r="L11" i="32"/>
  <c r="H50" i="7"/>
  <c r="I13" i="32"/>
  <c r="I50" i="7"/>
  <c r="G11" i="7"/>
  <c r="G10" i="7" s="1"/>
  <c r="J35" i="7"/>
  <c r="D11" i="7"/>
  <c r="D10" i="7" s="1"/>
  <c r="H97" i="32"/>
  <c r="H96" i="32" s="1"/>
  <c r="I97" i="32"/>
  <c r="I96" i="32" s="1"/>
  <c r="K12" i="32"/>
  <c r="K11" i="32" s="1"/>
  <c r="K10" i="32" s="1"/>
  <c r="I89" i="32"/>
  <c r="I35" i="7"/>
  <c r="J89" i="32"/>
  <c r="C23" i="7"/>
  <c r="C22" i="7" s="1"/>
  <c r="C12" i="32"/>
  <c r="C11" i="32" s="1"/>
  <c r="C10" i="32" s="1"/>
  <c r="L23" i="7"/>
  <c r="L22" i="7" s="1"/>
  <c r="K23" i="7"/>
  <c r="K22" i="7" s="1"/>
  <c r="H89" i="32"/>
  <c r="H37" i="7"/>
  <c r="H35" i="7" s="1"/>
  <c r="J51" i="7"/>
  <c r="J50" i="7" s="1"/>
  <c r="J97" i="32"/>
  <c r="J96" i="32" s="1"/>
  <c r="E23" i="7"/>
  <c r="E22" i="7" s="1"/>
  <c r="E12" i="32"/>
  <c r="E11" i="32" s="1"/>
  <c r="E10" i="32" s="1"/>
  <c r="H13" i="32"/>
  <c r="J46" i="32"/>
  <c r="J13" i="32" s="1"/>
  <c r="J23" i="7" l="1"/>
  <c r="I23" i="7"/>
  <c r="H23" i="7"/>
  <c r="C49" i="7" l="1"/>
  <c r="C48" i="7"/>
  <c r="E19" i="31"/>
  <c r="C19" i="31"/>
  <c r="E20" i="31"/>
  <c r="E17" i="31"/>
  <c r="E34" i="7" s="1"/>
  <c r="E32" i="31"/>
  <c r="E37" i="31"/>
  <c r="E16" i="31" s="1"/>
  <c r="E33" i="7" s="1"/>
  <c r="E111" i="31"/>
  <c r="E99" i="31"/>
  <c r="E69" i="31"/>
  <c r="L69" i="31"/>
  <c r="C69" i="31"/>
  <c r="E56" i="31"/>
  <c r="I57" i="31"/>
  <c r="I19" i="31" s="1"/>
  <c r="J57" i="31"/>
  <c r="K57" i="31"/>
  <c r="K19" i="31" s="1"/>
  <c r="L57" i="31"/>
  <c r="L19" i="31" s="1"/>
  <c r="H57" i="31"/>
  <c r="H19" i="31" s="1"/>
  <c r="J111" i="31"/>
  <c r="K111" i="31"/>
  <c r="L111" i="31"/>
  <c r="L98" i="31" s="1"/>
  <c r="K99" i="31"/>
  <c r="K91" i="31"/>
  <c r="L91" i="31"/>
  <c r="K17" i="31"/>
  <c r="K34" i="7" s="1"/>
  <c r="L47" i="31"/>
  <c r="L17" i="31" s="1"/>
  <c r="L34" i="7" s="1"/>
  <c r="K32" i="31"/>
  <c r="L32" i="31"/>
  <c r="E13" i="31" l="1"/>
  <c r="E20" i="7" s="1"/>
  <c r="E14" i="31"/>
  <c r="E21" i="7" s="1"/>
  <c r="E27" i="31"/>
  <c r="E26" i="31" s="1"/>
  <c r="K27" i="31"/>
  <c r="K14" i="31"/>
  <c r="K21" i="7" s="1"/>
  <c r="L68" i="31"/>
  <c r="L67" i="31" s="1"/>
  <c r="L13" i="31"/>
  <c r="L20" i="7" s="1"/>
  <c r="E32" i="7"/>
  <c r="L27" i="31"/>
  <c r="L14" i="31"/>
  <c r="L21" i="7" s="1"/>
  <c r="K13" i="31"/>
  <c r="K20" i="7" s="1"/>
  <c r="K98" i="31"/>
  <c r="L24" i="31"/>
  <c r="L49" i="7" s="1"/>
  <c r="L84" i="31"/>
  <c r="K24" i="31"/>
  <c r="K49" i="7" s="1"/>
  <c r="K84" i="31"/>
  <c r="J19" i="31"/>
  <c r="E19" i="7"/>
  <c r="C47" i="7"/>
  <c r="E18" i="31"/>
  <c r="E38" i="7" s="1"/>
  <c r="E15" i="31"/>
  <c r="E68" i="31"/>
  <c r="E98" i="31"/>
  <c r="E97" i="31" s="1"/>
  <c r="K59" i="31"/>
  <c r="L59" i="31"/>
  <c r="I60" i="31"/>
  <c r="I61" i="31"/>
  <c r="I62" i="31"/>
  <c r="E49" i="7"/>
  <c r="L48" i="7"/>
  <c r="K48" i="7"/>
  <c r="E48" i="7"/>
  <c r="C111" i="31"/>
  <c r="I110" i="31"/>
  <c r="I99" i="31" s="1"/>
  <c r="I98" i="31" s="1"/>
  <c r="H110" i="31"/>
  <c r="H99" i="31" s="1"/>
  <c r="H98" i="31" s="1"/>
  <c r="C99" i="31"/>
  <c r="I95" i="31"/>
  <c r="J95" i="31" s="1"/>
  <c r="H95" i="31"/>
  <c r="I94" i="31"/>
  <c r="J94" i="31" s="1"/>
  <c r="H94" i="31"/>
  <c r="I93" i="31"/>
  <c r="J93" i="31" s="1"/>
  <c r="H93" i="31"/>
  <c r="I92" i="31"/>
  <c r="H92" i="31"/>
  <c r="I90" i="31"/>
  <c r="J90" i="31" s="1"/>
  <c r="H90" i="31"/>
  <c r="I89" i="31"/>
  <c r="J89" i="31" s="1"/>
  <c r="H89" i="31"/>
  <c r="I88" i="31"/>
  <c r="J88" i="31" s="1"/>
  <c r="H88" i="31"/>
  <c r="I87" i="31"/>
  <c r="H87" i="31"/>
  <c r="I86" i="31"/>
  <c r="H86" i="31"/>
  <c r="E84" i="31"/>
  <c r="E83" i="31" s="1"/>
  <c r="I82" i="31"/>
  <c r="H82" i="31"/>
  <c r="I81" i="31"/>
  <c r="H81" i="31"/>
  <c r="I80" i="31"/>
  <c r="H80" i="31"/>
  <c r="I79" i="31"/>
  <c r="H79" i="31"/>
  <c r="I78" i="31"/>
  <c r="H78" i="31"/>
  <c r="C68" i="31"/>
  <c r="I76" i="31"/>
  <c r="H76" i="31"/>
  <c r="I75" i="31"/>
  <c r="H75" i="31"/>
  <c r="I74" i="31"/>
  <c r="H74" i="31"/>
  <c r="I73" i="31"/>
  <c r="H73" i="31"/>
  <c r="I72" i="31"/>
  <c r="H72" i="31"/>
  <c r="I71" i="31"/>
  <c r="H71" i="31"/>
  <c r="I70" i="31"/>
  <c r="H70" i="31"/>
  <c r="L63" i="31"/>
  <c r="K63" i="31"/>
  <c r="J63" i="31"/>
  <c r="I63" i="31"/>
  <c r="H63" i="31"/>
  <c r="H62" i="31"/>
  <c r="H61" i="31"/>
  <c r="H60" i="31"/>
  <c r="C59" i="31"/>
  <c r="I55" i="31"/>
  <c r="J55" i="31" s="1"/>
  <c r="I54" i="31"/>
  <c r="J54" i="31" s="1"/>
  <c r="I53" i="31"/>
  <c r="I52" i="31"/>
  <c r="I51" i="31"/>
  <c r="J51" i="31" s="1"/>
  <c r="H51" i="31"/>
  <c r="I50" i="31"/>
  <c r="J50" i="31" s="1"/>
  <c r="H50" i="31"/>
  <c r="I49" i="31"/>
  <c r="H49" i="31"/>
  <c r="I48" i="31"/>
  <c r="H48" i="31"/>
  <c r="C47" i="31"/>
  <c r="C17" i="31" s="1"/>
  <c r="C34" i="7" s="1"/>
  <c r="H46" i="31"/>
  <c r="I45" i="31"/>
  <c r="H45" i="31"/>
  <c r="I44" i="31"/>
  <c r="J44" i="31" s="1"/>
  <c r="H44" i="31"/>
  <c r="I43" i="31"/>
  <c r="J43" i="31" s="1"/>
  <c r="H43" i="31"/>
  <c r="I42" i="31"/>
  <c r="J42" i="31" s="1"/>
  <c r="H42" i="31"/>
  <c r="I41" i="31"/>
  <c r="H41" i="31"/>
  <c r="I40" i="31"/>
  <c r="J40" i="31" s="1"/>
  <c r="H40" i="31"/>
  <c r="I39" i="31"/>
  <c r="J39" i="31" s="1"/>
  <c r="H39" i="31"/>
  <c r="I38" i="31"/>
  <c r="H38" i="31"/>
  <c r="L37" i="31"/>
  <c r="K37" i="31"/>
  <c r="C37" i="31"/>
  <c r="C16" i="31" s="1"/>
  <c r="C33" i="7" s="1"/>
  <c r="J35" i="31"/>
  <c r="J32" i="31" s="1"/>
  <c r="I35" i="31"/>
  <c r="H35" i="31"/>
  <c r="I34" i="31"/>
  <c r="H34" i="31"/>
  <c r="I33" i="31"/>
  <c r="H33" i="31"/>
  <c r="C32" i="31"/>
  <c r="C14" i="31" s="1"/>
  <c r="C21" i="7" s="1"/>
  <c r="I31" i="31"/>
  <c r="H31" i="31"/>
  <c r="C28" i="31"/>
  <c r="I30" i="31"/>
  <c r="H30" i="31"/>
  <c r="I29" i="31"/>
  <c r="H29" i="31"/>
  <c r="K58" i="7"/>
  <c r="L58" i="7"/>
  <c r="K59" i="7"/>
  <c r="L59" i="7"/>
  <c r="K45" i="7"/>
  <c r="L45" i="7"/>
  <c r="K46" i="7"/>
  <c r="L46" i="7"/>
  <c r="K31" i="7"/>
  <c r="L31" i="7"/>
  <c r="K18" i="7"/>
  <c r="L18" i="7"/>
  <c r="K17" i="7"/>
  <c r="L17" i="7"/>
  <c r="I56" i="33"/>
  <c r="I47" i="33"/>
  <c r="I30" i="33"/>
  <c r="I31" i="33"/>
  <c r="J31" i="33" s="1"/>
  <c r="I32" i="33"/>
  <c r="J32" i="33" s="1"/>
  <c r="I33" i="33"/>
  <c r="I34" i="33"/>
  <c r="I35" i="33"/>
  <c r="I36" i="33"/>
  <c r="I37" i="33"/>
  <c r="I38" i="33"/>
  <c r="I39" i="33"/>
  <c r="I40" i="33"/>
  <c r="I41" i="33"/>
  <c r="I42" i="33"/>
  <c r="I43" i="33"/>
  <c r="I44" i="33"/>
  <c r="I29" i="33"/>
  <c r="I15" i="33"/>
  <c r="J15" i="33" s="1"/>
  <c r="I16" i="33"/>
  <c r="J16" i="33" s="1"/>
  <c r="I17" i="33"/>
  <c r="I18" i="33"/>
  <c r="J18" i="33" s="1"/>
  <c r="I19" i="33"/>
  <c r="J19" i="33" s="1"/>
  <c r="I20" i="33"/>
  <c r="I21" i="33"/>
  <c r="I22" i="33"/>
  <c r="I23" i="33"/>
  <c r="I24" i="33"/>
  <c r="I25" i="33"/>
  <c r="I26" i="33"/>
  <c r="I27" i="33"/>
  <c r="I14" i="33"/>
  <c r="C28" i="33"/>
  <c r="C18" i="7" s="1"/>
  <c r="E13" i="33"/>
  <c r="C13" i="33"/>
  <c r="I82" i="33"/>
  <c r="J82" i="33" s="1"/>
  <c r="H82" i="33"/>
  <c r="I81" i="33"/>
  <c r="J81" i="33" s="1"/>
  <c r="H81" i="33"/>
  <c r="I80" i="33"/>
  <c r="J80" i="33" s="1"/>
  <c r="H80" i="33"/>
  <c r="I79" i="33"/>
  <c r="J79" i="33" s="1"/>
  <c r="H79" i="33"/>
  <c r="I78" i="33"/>
  <c r="J78" i="33" s="1"/>
  <c r="H78" i="33"/>
  <c r="I77" i="33"/>
  <c r="H77" i="33"/>
  <c r="E76" i="33"/>
  <c r="E59" i="7" s="1"/>
  <c r="C76" i="33"/>
  <c r="C59" i="7" s="1"/>
  <c r="I75" i="33"/>
  <c r="J75" i="33" s="1"/>
  <c r="H75" i="33"/>
  <c r="I74" i="33"/>
  <c r="J74" i="33" s="1"/>
  <c r="H74" i="33"/>
  <c r="I73" i="33"/>
  <c r="J73" i="33" s="1"/>
  <c r="H73" i="33"/>
  <c r="I72" i="33"/>
  <c r="J72" i="33" s="1"/>
  <c r="H72" i="33"/>
  <c r="H71" i="33" s="1"/>
  <c r="C71" i="33"/>
  <c r="I69" i="33"/>
  <c r="J69" i="33" s="1"/>
  <c r="H69" i="33"/>
  <c r="I68" i="33"/>
  <c r="H68" i="33"/>
  <c r="I67" i="33"/>
  <c r="J67" i="33" s="1"/>
  <c r="H67" i="33"/>
  <c r="I66" i="33"/>
  <c r="H66" i="33"/>
  <c r="I65" i="33"/>
  <c r="J65" i="33" s="1"/>
  <c r="H65" i="33"/>
  <c r="I64" i="33"/>
  <c r="H64" i="33"/>
  <c r="E63" i="33"/>
  <c r="E46" i="7" s="1"/>
  <c r="C63" i="33"/>
  <c r="C46" i="7" s="1"/>
  <c r="I62" i="33"/>
  <c r="H62" i="33"/>
  <c r="I61" i="33"/>
  <c r="H61" i="33"/>
  <c r="I60" i="33"/>
  <c r="H60" i="33"/>
  <c r="I59" i="33"/>
  <c r="H59" i="33"/>
  <c r="I58" i="33"/>
  <c r="J58" i="33" s="1"/>
  <c r="H58" i="33"/>
  <c r="I57" i="33"/>
  <c r="H57" i="33"/>
  <c r="H56" i="33"/>
  <c r="H55" i="33" s="1"/>
  <c r="E55" i="33"/>
  <c r="C55" i="33"/>
  <c r="I51" i="33"/>
  <c r="H51" i="33"/>
  <c r="I50" i="33"/>
  <c r="J50" i="33" s="1"/>
  <c r="J49" i="33" s="1"/>
  <c r="J31" i="7" s="1"/>
  <c r="H50" i="33"/>
  <c r="G49" i="33"/>
  <c r="E49" i="33"/>
  <c r="E31" i="7" s="1"/>
  <c r="D49" i="33"/>
  <c r="C49" i="33"/>
  <c r="C31" i="7" s="1"/>
  <c r="I48" i="33"/>
  <c r="J48" i="33" s="1"/>
  <c r="J46" i="33" s="1"/>
  <c r="J30" i="7" s="1"/>
  <c r="H48" i="33"/>
  <c r="H47" i="33"/>
  <c r="L46" i="33"/>
  <c r="L45" i="33" s="1"/>
  <c r="L11" i="33" s="1"/>
  <c r="L10" i="33" s="1"/>
  <c r="K46" i="33"/>
  <c r="K45" i="33" s="1"/>
  <c r="K11" i="33" s="1"/>
  <c r="K10" i="33" s="1"/>
  <c r="E46" i="33"/>
  <c r="E30" i="7" s="1"/>
  <c r="E29" i="7" s="1"/>
  <c r="C46" i="33"/>
  <c r="J44" i="33"/>
  <c r="H44" i="33"/>
  <c r="J43" i="33"/>
  <c r="H43" i="33"/>
  <c r="J42" i="33"/>
  <c r="H42" i="33"/>
  <c r="J41" i="33"/>
  <c r="H41" i="33"/>
  <c r="J40" i="33"/>
  <c r="H40" i="33"/>
  <c r="J39" i="33"/>
  <c r="H39" i="33"/>
  <c r="J38" i="33"/>
  <c r="H38" i="33"/>
  <c r="J37" i="33"/>
  <c r="H37" i="33"/>
  <c r="J36" i="33"/>
  <c r="H36" i="33"/>
  <c r="J35" i="33"/>
  <c r="H35" i="33"/>
  <c r="J34" i="33"/>
  <c r="H34" i="33"/>
  <c r="J33" i="33"/>
  <c r="H33" i="33"/>
  <c r="H32" i="33"/>
  <c r="H31" i="33"/>
  <c r="J30" i="33"/>
  <c r="H30" i="33"/>
  <c r="H29" i="33"/>
  <c r="E28" i="33"/>
  <c r="E18" i="7" s="1"/>
  <c r="J27" i="33"/>
  <c r="H27" i="33"/>
  <c r="J26" i="33"/>
  <c r="H26" i="33"/>
  <c r="J25" i="33"/>
  <c r="H25" i="33"/>
  <c r="J24" i="33"/>
  <c r="H24" i="33"/>
  <c r="J23" i="33"/>
  <c r="H23" i="33"/>
  <c r="J22" i="33"/>
  <c r="H22" i="33"/>
  <c r="J21" i="33"/>
  <c r="H21" i="33"/>
  <c r="J20" i="33"/>
  <c r="H20" i="33"/>
  <c r="H19" i="33"/>
  <c r="H18" i="33"/>
  <c r="H17" i="33"/>
  <c r="H16" i="33"/>
  <c r="H15" i="33"/>
  <c r="H14" i="33"/>
  <c r="I28" i="31" l="1"/>
  <c r="L19" i="7"/>
  <c r="J64" i="33"/>
  <c r="J63" i="33" s="1"/>
  <c r="I63" i="33"/>
  <c r="H63" i="33"/>
  <c r="H54" i="33" s="1"/>
  <c r="J77" i="33"/>
  <c r="J76" i="33" s="1"/>
  <c r="I76" i="33"/>
  <c r="H28" i="31"/>
  <c r="H77" i="31"/>
  <c r="L16" i="7"/>
  <c r="K16" i="7"/>
  <c r="E45" i="7"/>
  <c r="E44" i="7" s="1"/>
  <c r="E54" i="33"/>
  <c r="C54" i="33"/>
  <c r="I55" i="33"/>
  <c r="I45" i="7" s="1"/>
  <c r="C32" i="7"/>
  <c r="H13" i="33"/>
  <c r="J29" i="7"/>
  <c r="J14" i="33"/>
  <c r="I13" i="33"/>
  <c r="H69" i="31"/>
  <c r="I77" i="31"/>
  <c r="I69" i="31"/>
  <c r="I13" i="31" s="1"/>
  <c r="I20" i="7" s="1"/>
  <c r="H85" i="31"/>
  <c r="L47" i="7"/>
  <c r="H13" i="31"/>
  <c r="H20" i="7" s="1"/>
  <c r="C13" i="31"/>
  <c r="C20" i="7" s="1"/>
  <c r="C19" i="7" s="1"/>
  <c r="C27" i="31"/>
  <c r="I85" i="31"/>
  <c r="J37" i="31"/>
  <c r="H91" i="31"/>
  <c r="H24" i="31" s="1"/>
  <c r="K19" i="7"/>
  <c r="J14" i="31"/>
  <c r="J21" i="7" s="1"/>
  <c r="J27" i="31"/>
  <c r="E47" i="7"/>
  <c r="K47" i="7"/>
  <c r="C12" i="33"/>
  <c r="C70" i="33"/>
  <c r="C53" i="33" s="1"/>
  <c r="E71" i="33"/>
  <c r="E58" i="7" s="1"/>
  <c r="E57" i="7" s="1"/>
  <c r="E12" i="33"/>
  <c r="I28" i="33"/>
  <c r="I18" i="7" s="1"/>
  <c r="C45" i="33"/>
  <c r="I49" i="33"/>
  <c r="I31" i="7" s="1"/>
  <c r="C17" i="7"/>
  <c r="C16" i="7" s="1"/>
  <c r="J59" i="7"/>
  <c r="C30" i="7"/>
  <c r="C29" i="7" s="1"/>
  <c r="K30" i="7"/>
  <c r="K29" i="7" s="1"/>
  <c r="E17" i="7"/>
  <c r="E16" i="7" s="1"/>
  <c r="C58" i="7"/>
  <c r="C57" i="7" s="1"/>
  <c r="H46" i="7"/>
  <c r="H58" i="7"/>
  <c r="C45" i="7"/>
  <c r="C44" i="7" s="1"/>
  <c r="H49" i="33"/>
  <c r="H31" i="7" s="1"/>
  <c r="J45" i="33"/>
  <c r="I59" i="7"/>
  <c r="H28" i="33"/>
  <c r="H18" i="7" s="1"/>
  <c r="L30" i="7"/>
  <c r="L29" i="7" s="1"/>
  <c r="L57" i="7"/>
  <c r="K57" i="7"/>
  <c r="K44" i="7"/>
  <c r="L44" i="7"/>
  <c r="E12" i="31"/>
  <c r="E11" i="31" s="1"/>
  <c r="C98" i="31"/>
  <c r="C97" i="31" s="1"/>
  <c r="C96" i="31" s="1"/>
  <c r="K22" i="31"/>
  <c r="K21" i="31" s="1"/>
  <c r="C22" i="31"/>
  <c r="C21" i="31" s="1"/>
  <c r="C15" i="31"/>
  <c r="E22" i="31"/>
  <c r="E21" i="31" s="1"/>
  <c r="L56" i="31"/>
  <c r="L20" i="31"/>
  <c r="L18" i="31" s="1"/>
  <c r="L38" i="7" s="1"/>
  <c r="K56" i="31"/>
  <c r="K20" i="31"/>
  <c r="K18" i="31" s="1"/>
  <c r="K38" i="7" s="1"/>
  <c r="H97" i="31"/>
  <c r="H96" i="31" s="1"/>
  <c r="L36" i="31"/>
  <c r="L16" i="31"/>
  <c r="K36" i="31"/>
  <c r="K16" i="31"/>
  <c r="C56" i="31"/>
  <c r="C20" i="31"/>
  <c r="C18" i="31" s="1"/>
  <c r="C38" i="7" s="1"/>
  <c r="L22" i="31"/>
  <c r="L21" i="31" s="1"/>
  <c r="C36" i="31"/>
  <c r="I32" i="31"/>
  <c r="I14" i="31" s="1"/>
  <c r="I21" i="7" s="1"/>
  <c r="H59" i="31"/>
  <c r="H20" i="31" s="1"/>
  <c r="H18" i="31" s="1"/>
  <c r="H38" i="7" s="1"/>
  <c r="N16" i="28" s="1"/>
  <c r="I59" i="31"/>
  <c r="I20" i="31" s="1"/>
  <c r="I18" i="31" s="1"/>
  <c r="I38" i="7" s="1"/>
  <c r="J86" i="31"/>
  <c r="J48" i="31"/>
  <c r="I47" i="31"/>
  <c r="I17" i="31" s="1"/>
  <c r="I34" i="7" s="1"/>
  <c r="J92" i="31"/>
  <c r="J91" i="31" s="1"/>
  <c r="J24" i="31" s="1"/>
  <c r="I91" i="31"/>
  <c r="I24" i="31" s="1"/>
  <c r="J62" i="31"/>
  <c r="J61" i="31"/>
  <c r="C83" i="31"/>
  <c r="I37" i="31"/>
  <c r="I16" i="31" s="1"/>
  <c r="I33" i="7" s="1"/>
  <c r="H32" i="31"/>
  <c r="H47" i="31"/>
  <c r="H17" i="31" s="1"/>
  <c r="H34" i="7" s="1"/>
  <c r="AA14" i="28" s="1"/>
  <c r="I97" i="31"/>
  <c r="I96" i="31" s="1"/>
  <c r="E25" i="31"/>
  <c r="E67" i="31"/>
  <c r="J60" i="31"/>
  <c r="L97" i="31"/>
  <c r="L96" i="31" s="1"/>
  <c r="K97" i="31"/>
  <c r="K96" i="31" s="1"/>
  <c r="H37" i="31"/>
  <c r="J87" i="31"/>
  <c r="J110" i="31"/>
  <c r="J99" i="31" s="1"/>
  <c r="E45" i="33"/>
  <c r="H46" i="33"/>
  <c r="H76" i="33"/>
  <c r="H70" i="33" s="1"/>
  <c r="J71" i="33"/>
  <c r="J70" i="33" s="1"/>
  <c r="J46" i="7"/>
  <c r="I71" i="33"/>
  <c r="J17" i="33"/>
  <c r="J29" i="33"/>
  <c r="J28" i="33" s="1"/>
  <c r="J18" i="7" s="1"/>
  <c r="J56" i="33"/>
  <c r="J55" i="33" s="1"/>
  <c r="J54" i="33" s="1"/>
  <c r="I46" i="33"/>
  <c r="J53" i="33" l="1"/>
  <c r="L26" i="31"/>
  <c r="H53" i="33"/>
  <c r="H14" i="31"/>
  <c r="H21" i="7" s="1"/>
  <c r="J13" i="33"/>
  <c r="E11" i="33"/>
  <c r="I27" i="31"/>
  <c r="I54" i="33"/>
  <c r="I19" i="7"/>
  <c r="C11" i="33"/>
  <c r="C10" i="33" s="1"/>
  <c r="J45" i="7"/>
  <c r="J44" i="7" s="1"/>
  <c r="I32" i="7"/>
  <c r="K26" i="31"/>
  <c r="H84" i="31"/>
  <c r="H83" i="31" s="1"/>
  <c r="H23" i="31"/>
  <c r="H27" i="31"/>
  <c r="N12" i="28"/>
  <c r="H19" i="7"/>
  <c r="J85" i="31"/>
  <c r="L15" i="31"/>
  <c r="L33" i="7"/>
  <c r="L32" i="7" s="1"/>
  <c r="J16" i="31"/>
  <c r="J33" i="7" s="1"/>
  <c r="I12" i="33"/>
  <c r="I84" i="31"/>
  <c r="I23" i="31"/>
  <c r="H36" i="31"/>
  <c r="J47" i="31"/>
  <c r="J17" i="31" s="1"/>
  <c r="K15" i="31"/>
  <c r="K33" i="7"/>
  <c r="K32" i="7" s="1"/>
  <c r="I17" i="7"/>
  <c r="I16" i="7" s="1"/>
  <c r="J17" i="7"/>
  <c r="J16" i="7" s="1"/>
  <c r="J12" i="33"/>
  <c r="J11" i="33" s="1"/>
  <c r="J98" i="31"/>
  <c r="J97" i="31" s="1"/>
  <c r="J96" i="31" s="1"/>
  <c r="J13" i="31"/>
  <c r="H12" i="33"/>
  <c r="E70" i="33"/>
  <c r="E53" i="33" s="1"/>
  <c r="H45" i="7"/>
  <c r="H59" i="7"/>
  <c r="I45" i="33"/>
  <c r="I30" i="7"/>
  <c r="I29" i="7" s="1"/>
  <c r="I70" i="33"/>
  <c r="I58" i="7"/>
  <c r="I57" i="7" s="1"/>
  <c r="J58" i="7"/>
  <c r="J57" i="7" s="1"/>
  <c r="H17" i="7"/>
  <c r="H16" i="7" s="1"/>
  <c r="I46" i="7"/>
  <c r="I44" i="7" s="1"/>
  <c r="H68" i="31"/>
  <c r="E10" i="31"/>
  <c r="L12" i="31"/>
  <c r="H12" i="31"/>
  <c r="C12" i="31"/>
  <c r="I15" i="31"/>
  <c r="I68" i="31"/>
  <c r="I67" i="31" s="1"/>
  <c r="K25" i="31"/>
  <c r="H16" i="31"/>
  <c r="J59" i="31"/>
  <c r="J56" i="31" s="1"/>
  <c r="H56" i="31"/>
  <c r="I56" i="31"/>
  <c r="L25" i="31"/>
  <c r="I36" i="31"/>
  <c r="C67" i="31"/>
  <c r="C26" i="31"/>
  <c r="C25" i="31" s="1"/>
  <c r="H45" i="33"/>
  <c r="H30" i="7"/>
  <c r="H29" i="7" s="1"/>
  <c r="E10" i="33" l="1"/>
  <c r="I26" i="31"/>
  <c r="H26" i="31"/>
  <c r="I53" i="33"/>
  <c r="H67" i="31"/>
  <c r="J36" i="31"/>
  <c r="J26" i="31" s="1"/>
  <c r="T28" i="7"/>
  <c r="J10" i="33"/>
  <c r="J15" i="31"/>
  <c r="J34" i="7"/>
  <c r="J32" i="7" s="1"/>
  <c r="H15" i="31"/>
  <c r="H33" i="7"/>
  <c r="H11" i="33"/>
  <c r="J20" i="7"/>
  <c r="J19" i="7" s="1"/>
  <c r="J12" i="31"/>
  <c r="I11" i="33"/>
  <c r="I10" i="33" s="1"/>
  <c r="J84" i="31"/>
  <c r="J23" i="31"/>
  <c r="C11" i="31"/>
  <c r="C10" i="31" s="1"/>
  <c r="L11" i="31"/>
  <c r="L10" i="31" s="1"/>
  <c r="H57" i="7"/>
  <c r="H44" i="7"/>
  <c r="H11" i="31"/>
  <c r="K12" i="31"/>
  <c r="K11" i="31" s="1"/>
  <c r="K10" i="31" s="1"/>
  <c r="I12" i="31"/>
  <c r="I11" i="31" s="1"/>
  <c r="J25" i="31"/>
  <c r="J20" i="31"/>
  <c r="J18" i="31" s="1"/>
  <c r="J38" i="7" s="1"/>
  <c r="H25" i="31"/>
  <c r="I25" i="31"/>
  <c r="O10" i="33" l="1"/>
  <c r="O16" i="7" s="1"/>
  <c r="S16" i="7"/>
  <c r="T36" i="7"/>
  <c r="H10" i="33"/>
  <c r="H32" i="7"/>
  <c r="N15" i="28"/>
  <c r="J11" i="31"/>
  <c r="K47" i="34"/>
  <c r="K28" i="7" s="1"/>
  <c r="L47" i="34"/>
  <c r="L28" i="7" s="1"/>
  <c r="K55" i="34"/>
  <c r="K42" i="7" s="1"/>
  <c r="L55" i="34"/>
  <c r="L42" i="7" s="1"/>
  <c r="K74" i="34"/>
  <c r="K55" i="7" s="1"/>
  <c r="L74" i="34"/>
  <c r="L55" i="7" s="1"/>
  <c r="K80" i="34"/>
  <c r="L80" i="34"/>
  <c r="L56" i="7" s="1"/>
  <c r="I67" i="34"/>
  <c r="I56" i="34"/>
  <c r="I57" i="34"/>
  <c r="I58" i="34"/>
  <c r="I59" i="34"/>
  <c r="I60" i="34"/>
  <c r="I61" i="34"/>
  <c r="I62" i="34"/>
  <c r="I63" i="34"/>
  <c r="I65" i="34"/>
  <c r="I66" i="34"/>
  <c r="I68" i="34"/>
  <c r="I69" i="34"/>
  <c r="I70" i="34"/>
  <c r="I71" i="34"/>
  <c r="I72" i="34"/>
  <c r="I75" i="34"/>
  <c r="I76" i="34"/>
  <c r="I77" i="34"/>
  <c r="I78" i="34"/>
  <c r="I79" i="34"/>
  <c r="I81" i="34"/>
  <c r="I82" i="34"/>
  <c r="I83" i="34"/>
  <c r="I84" i="34"/>
  <c r="I85" i="34"/>
  <c r="I86" i="34"/>
  <c r="I87" i="34"/>
  <c r="J87" i="34" s="1"/>
  <c r="K64" i="34"/>
  <c r="K43" i="7" s="1"/>
  <c r="L64" i="34"/>
  <c r="L43" i="7" s="1"/>
  <c r="K27" i="7"/>
  <c r="K12" i="7"/>
  <c r="L12" i="7"/>
  <c r="H87" i="34"/>
  <c r="H86" i="34"/>
  <c r="H85" i="34"/>
  <c r="H84" i="34"/>
  <c r="H83" i="34"/>
  <c r="H82" i="34"/>
  <c r="H81" i="34"/>
  <c r="E80" i="34"/>
  <c r="E56" i="7" s="1"/>
  <c r="C80" i="34"/>
  <c r="C56" i="7" s="1"/>
  <c r="H79" i="34"/>
  <c r="H78" i="34"/>
  <c r="H77" i="34"/>
  <c r="H76" i="34"/>
  <c r="H75" i="34"/>
  <c r="E74" i="34"/>
  <c r="E55" i="7" s="1"/>
  <c r="C74" i="34"/>
  <c r="H72" i="34"/>
  <c r="H71" i="34"/>
  <c r="H70" i="34"/>
  <c r="H69" i="34"/>
  <c r="H68" i="34"/>
  <c r="H67" i="34"/>
  <c r="H66" i="34"/>
  <c r="H65" i="34"/>
  <c r="H63" i="34"/>
  <c r="H62" i="34"/>
  <c r="H61" i="34"/>
  <c r="H60" i="34"/>
  <c r="H59" i="34"/>
  <c r="H58" i="34"/>
  <c r="H57" i="34"/>
  <c r="H56" i="34"/>
  <c r="E55" i="34"/>
  <c r="E42" i="7" s="1"/>
  <c r="I52" i="34"/>
  <c r="J52" i="34" s="1"/>
  <c r="H52" i="34"/>
  <c r="I51" i="34"/>
  <c r="J51" i="34" s="1"/>
  <c r="H51" i="34"/>
  <c r="I50" i="34"/>
  <c r="J50" i="34" s="1"/>
  <c r="H50" i="34"/>
  <c r="I49" i="34"/>
  <c r="J49" i="34" s="1"/>
  <c r="H49" i="34"/>
  <c r="I48" i="34"/>
  <c r="H48" i="34"/>
  <c r="E47" i="34"/>
  <c r="E28" i="7" s="1"/>
  <c r="C47" i="34"/>
  <c r="C28" i="7" s="1"/>
  <c r="I46" i="34"/>
  <c r="J46" i="34" s="1"/>
  <c r="H46" i="34"/>
  <c r="I45" i="34"/>
  <c r="J45" i="34" s="1"/>
  <c r="H45" i="34"/>
  <c r="I44" i="34"/>
  <c r="J44" i="34" s="1"/>
  <c r="H44" i="34"/>
  <c r="I43" i="34"/>
  <c r="J43" i="34" s="1"/>
  <c r="H43" i="34"/>
  <c r="I42" i="34"/>
  <c r="J42" i="34" s="1"/>
  <c r="H42" i="34"/>
  <c r="I41" i="34"/>
  <c r="I40" i="34" s="1"/>
  <c r="I39" i="34" s="1"/>
  <c r="H41" i="34"/>
  <c r="C40" i="34"/>
  <c r="I37" i="34"/>
  <c r="J37" i="34" s="1"/>
  <c r="H37" i="34"/>
  <c r="I36" i="34"/>
  <c r="J36" i="34" s="1"/>
  <c r="H36" i="34"/>
  <c r="I35" i="34"/>
  <c r="H35" i="34"/>
  <c r="H49" i="7" s="1"/>
  <c r="AA13" i="28" s="1"/>
  <c r="I34" i="34"/>
  <c r="J34" i="34" s="1"/>
  <c r="H34" i="34"/>
  <c r="I33" i="34"/>
  <c r="J33" i="34" s="1"/>
  <c r="H33" i="34"/>
  <c r="I32" i="34"/>
  <c r="J32" i="34" s="1"/>
  <c r="H32" i="34"/>
  <c r="I31" i="34"/>
  <c r="J31" i="34" s="1"/>
  <c r="I30" i="34"/>
  <c r="J30" i="34" s="1"/>
  <c r="H30" i="34"/>
  <c r="I29" i="34"/>
  <c r="J29" i="34" s="1"/>
  <c r="H29" i="34"/>
  <c r="I28" i="34"/>
  <c r="J28" i="34" s="1"/>
  <c r="H28" i="34"/>
  <c r="I27" i="34"/>
  <c r="H27" i="34"/>
  <c r="E26" i="34"/>
  <c r="C26" i="34"/>
  <c r="I25" i="34"/>
  <c r="H25" i="34"/>
  <c r="I24" i="34"/>
  <c r="J24" i="34" s="1"/>
  <c r="H24" i="34"/>
  <c r="I23" i="34"/>
  <c r="J23" i="34" s="1"/>
  <c r="H23" i="34"/>
  <c r="I22" i="34"/>
  <c r="J22" i="34" s="1"/>
  <c r="H22" i="34"/>
  <c r="I21" i="34"/>
  <c r="H21" i="34"/>
  <c r="I20" i="34"/>
  <c r="J20" i="34" s="1"/>
  <c r="H20" i="34"/>
  <c r="I19" i="34"/>
  <c r="J19" i="34" s="1"/>
  <c r="H19" i="34"/>
  <c r="I18" i="34"/>
  <c r="J18" i="34" s="1"/>
  <c r="H18" i="34"/>
  <c r="I17" i="34"/>
  <c r="J17" i="34" s="1"/>
  <c r="H17" i="34"/>
  <c r="I16" i="34"/>
  <c r="J16" i="34" s="1"/>
  <c r="H16" i="34"/>
  <c r="I15" i="34"/>
  <c r="J15" i="34" s="1"/>
  <c r="H15" i="34"/>
  <c r="I14" i="34"/>
  <c r="I13" i="34" s="1"/>
  <c r="H14" i="34"/>
  <c r="H13" i="34" l="1"/>
  <c r="H14" i="7" s="1"/>
  <c r="H40" i="34"/>
  <c r="H39" i="34" s="1"/>
  <c r="I14" i="7"/>
  <c r="H64" i="34"/>
  <c r="H43" i="7" s="1"/>
  <c r="E15" i="7"/>
  <c r="E13" i="7" s="1"/>
  <c r="E12" i="7" s="1"/>
  <c r="E12" i="34"/>
  <c r="C15" i="7"/>
  <c r="C13" i="7" s="1"/>
  <c r="C12" i="7" s="1"/>
  <c r="C12" i="34"/>
  <c r="C39" i="34"/>
  <c r="C38" i="34" s="1"/>
  <c r="K54" i="34"/>
  <c r="K26" i="7"/>
  <c r="K25" i="7" s="1"/>
  <c r="K11" i="7" s="1"/>
  <c r="K73" i="34"/>
  <c r="C55" i="7"/>
  <c r="C54" i="7" s="1"/>
  <c r="C53" i="7" s="1"/>
  <c r="I47" i="34"/>
  <c r="I38" i="34" s="1"/>
  <c r="E54" i="34"/>
  <c r="J25" i="34"/>
  <c r="J14" i="34"/>
  <c r="L73" i="34"/>
  <c r="I80" i="34"/>
  <c r="I56" i="7" s="1"/>
  <c r="I55" i="34"/>
  <c r="I42" i="7" s="1"/>
  <c r="L54" i="34"/>
  <c r="J27" i="34"/>
  <c r="I26" i="34"/>
  <c r="I15" i="7" s="1"/>
  <c r="I74" i="34"/>
  <c r="I55" i="7" s="1"/>
  <c r="L27" i="7"/>
  <c r="L26" i="7" s="1"/>
  <c r="L25" i="7" s="1"/>
  <c r="L11" i="7" s="1"/>
  <c r="L38" i="34"/>
  <c r="L11" i="34" s="1"/>
  <c r="H80" i="34"/>
  <c r="H56" i="7" s="1"/>
  <c r="S14" i="28" s="1"/>
  <c r="K38" i="34"/>
  <c r="K11" i="34" s="1"/>
  <c r="J35" i="34"/>
  <c r="J49" i="7" s="1"/>
  <c r="I49" i="7"/>
  <c r="K56" i="7"/>
  <c r="K54" i="7" s="1"/>
  <c r="K53" i="7" s="1"/>
  <c r="I64" i="34"/>
  <c r="I43" i="7" s="1"/>
  <c r="J21" i="34"/>
  <c r="K41" i="7"/>
  <c r="K40" i="7" s="1"/>
  <c r="H48" i="7"/>
  <c r="H22" i="31"/>
  <c r="H21" i="31" s="1"/>
  <c r="H10" i="31" s="1"/>
  <c r="E54" i="7"/>
  <c r="E53" i="7" s="1"/>
  <c r="L54" i="7"/>
  <c r="L53" i="7" s="1"/>
  <c r="J85" i="34"/>
  <c r="J86" i="34"/>
  <c r="H55" i="34"/>
  <c r="H42" i="7" s="1"/>
  <c r="E38" i="34"/>
  <c r="E11" i="34" s="1"/>
  <c r="C73" i="34"/>
  <c r="E73" i="34"/>
  <c r="E27" i="7"/>
  <c r="E26" i="7" s="1"/>
  <c r="E25" i="7" s="1"/>
  <c r="E11" i="7" s="1"/>
  <c r="H47" i="34"/>
  <c r="H28" i="7" s="1"/>
  <c r="S15" i="28" s="1"/>
  <c r="H74" i="34"/>
  <c r="H73" i="34" s="1"/>
  <c r="H26" i="34"/>
  <c r="C54" i="34"/>
  <c r="C41" i="7" s="1"/>
  <c r="C40" i="7" s="1"/>
  <c r="J48" i="34"/>
  <c r="J47" i="34" s="1"/>
  <c r="J28" i="7" s="1"/>
  <c r="J41" i="34"/>
  <c r="J26" i="34" l="1"/>
  <c r="J15" i="7" s="1"/>
  <c r="H38" i="34"/>
  <c r="K39" i="7"/>
  <c r="C11" i="34"/>
  <c r="I12" i="34"/>
  <c r="I11" i="34" s="1"/>
  <c r="H15" i="7"/>
  <c r="S12" i="28" s="1"/>
  <c r="J13" i="34"/>
  <c r="I13" i="7"/>
  <c r="C27" i="7"/>
  <c r="C26" i="7" s="1"/>
  <c r="C25" i="7" s="1"/>
  <c r="J40" i="34"/>
  <c r="J39" i="34" s="1"/>
  <c r="J27" i="7" s="1"/>
  <c r="H12" i="34"/>
  <c r="L10" i="34"/>
  <c r="K53" i="34"/>
  <c r="K10" i="34" s="1"/>
  <c r="C39" i="7"/>
  <c r="H54" i="34"/>
  <c r="E41" i="7"/>
  <c r="E40" i="7" s="1"/>
  <c r="E39" i="7" s="1"/>
  <c r="L53" i="34"/>
  <c r="I54" i="7"/>
  <c r="I53" i="7" s="1"/>
  <c r="E53" i="34"/>
  <c r="E10" i="34" s="1"/>
  <c r="L41" i="7"/>
  <c r="L40" i="7" s="1"/>
  <c r="L39" i="7" s="1"/>
  <c r="L10" i="7" s="1"/>
  <c r="I73" i="34"/>
  <c r="J48" i="7"/>
  <c r="J47" i="7" s="1"/>
  <c r="T29" i="7" s="1"/>
  <c r="J22" i="31"/>
  <c r="J21" i="31" s="1"/>
  <c r="J10" i="31" s="1"/>
  <c r="S19" i="7" s="1"/>
  <c r="I48" i="7"/>
  <c r="I47" i="7" s="1"/>
  <c r="I22" i="31"/>
  <c r="H55" i="7"/>
  <c r="S13" i="28"/>
  <c r="H27" i="7"/>
  <c r="N13" i="28"/>
  <c r="H47" i="7"/>
  <c r="J84" i="34"/>
  <c r="C53" i="34"/>
  <c r="C10" i="34" s="1"/>
  <c r="I28" i="7"/>
  <c r="J38" i="34" l="1"/>
  <c r="H13" i="7"/>
  <c r="J14" i="7"/>
  <c r="J13" i="7" s="1"/>
  <c r="J12" i="34"/>
  <c r="F13" i="28"/>
  <c r="H53" i="34"/>
  <c r="I21" i="31"/>
  <c r="I10" i="31" s="1"/>
  <c r="H41" i="7"/>
  <c r="H40" i="7" s="1"/>
  <c r="H11" i="34"/>
  <c r="F15" i="28"/>
  <c r="H26" i="7"/>
  <c r="H25" i="7" s="1"/>
  <c r="F12" i="28"/>
  <c r="F14" i="28"/>
  <c r="H54" i="7"/>
  <c r="H53" i="7" s="1"/>
  <c r="J83" i="34"/>
  <c r="J26" i="7"/>
  <c r="I27" i="7"/>
  <c r="I26" i="7" s="1"/>
  <c r="I25" i="7" s="1"/>
  <c r="H10" i="34" l="1"/>
  <c r="H39" i="7"/>
  <c r="J25" i="7"/>
  <c r="J11" i="34"/>
  <c r="J82" i="34"/>
  <c r="J81" i="34" l="1"/>
  <c r="J80" i="34" l="1"/>
  <c r="J79" i="34"/>
  <c r="J56" i="7" l="1"/>
  <c r="J78" i="34"/>
  <c r="J77" i="34" l="1"/>
  <c r="J76" i="34" l="1"/>
  <c r="J75" i="34" l="1"/>
  <c r="J74" i="34" s="1"/>
  <c r="J73" i="34" s="1"/>
  <c r="J55" i="7" l="1"/>
  <c r="J54" i="7" s="1"/>
  <c r="J53" i="7" s="1"/>
  <c r="J72" i="34"/>
  <c r="J69" i="34" l="1"/>
  <c r="J68" i="34" l="1"/>
  <c r="J67" i="34" l="1"/>
  <c r="J65" i="34" l="1"/>
  <c r="J64" i="34" s="1"/>
  <c r="J43" i="7" s="1"/>
  <c r="J61" i="34" l="1"/>
  <c r="J60" i="34" l="1"/>
  <c r="J59" i="34" l="1"/>
  <c r="J56" i="34" l="1"/>
  <c r="J55" i="34" s="1"/>
  <c r="J54" i="34" l="1"/>
  <c r="J53" i="34" s="1"/>
  <c r="J10" i="34" s="1"/>
  <c r="S13" i="7" s="1"/>
  <c r="J42" i="7"/>
  <c r="J41" i="7"/>
  <c r="T27" i="7" s="1"/>
  <c r="I54" i="34"/>
  <c r="O10" i="34" l="1"/>
  <c r="O13" i="7" s="1"/>
  <c r="J40" i="7"/>
  <c r="J39" i="7" s="1"/>
  <c r="I53" i="34"/>
  <c r="I10" i="34" s="1"/>
  <c r="I41" i="7"/>
  <c r="I40" i="7" s="1"/>
  <c r="I39" i="7" s="1"/>
  <c r="AB16" i="28" l="1"/>
  <c r="Z16" i="28"/>
  <c r="X16" i="28"/>
  <c r="V16" i="28"/>
  <c r="T16" i="28"/>
  <c r="R16" i="28"/>
  <c r="AB15" i="28"/>
  <c r="Z15" i="28"/>
  <c r="X15" i="28"/>
  <c r="V15" i="28"/>
  <c r="T15" i="28"/>
  <c r="R15" i="28"/>
  <c r="AB14" i="28"/>
  <c r="Z14" i="28"/>
  <c r="P14" i="28" s="1"/>
  <c r="AB13" i="28"/>
  <c r="Z13" i="28"/>
  <c r="X13" i="28"/>
  <c r="V13" i="28"/>
  <c r="T13" i="28"/>
  <c r="R13" i="28"/>
  <c r="P16" i="28" l="1"/>
  <c r="P13" i="28"/>
  <c r="P15" i="28"/>
  <c r="H18" i="12" l="1"/>
  <c r="H15" i="12"/>
  <c r="H14" i="12"/>
  <c r="H11" i="12"/>
  <c r="H6" i="42"/>
  <c r="H7" i="12" s="1"/>
  <c r="H16" i="42"/>
  <c r="H20" i="42"/>
  <c r="H20" i="41"/>
  <c r="H20" i="40"/>
  <c r="H16" i="40"/>
  <c r="H9" i="12" s="1"/>
  <c r="H17" i="12"/>
  <c r="H16" i="12"/>
  <c r="H23" i="40" l="1"/>
  <c r="C18" i="18"/>
  <c r="H8" i="13" l="1"/>
  <c r="H7"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10" i="13"/>
  <c r="H62" i="13"/>
  <c r="E63" i="13"/>
  <c r="H63" i="13" s="1"/>
  <c r="H64" i="13"/>
  <c r="H70" i="13"/>
  <c r="H69" i="13"/>
  <c r="H68" i="13"/>
  <c r="H67" i="13"/>
  <c r="H66" i="13"/>
  <c r="H20" i="43"/>
  <c r="H18" i="41"/>
  <c r="H17" i="41"/>
  <c r="E65" i="10"/>
  <c r="F65" i="10"/>
  <c r="G65" i="10"/>
  <c r="I65" i="10"/>
  <c r="J65" i="10"/>
  <c r="K65" i="10"/>
  <c r="E50" i="10"/>
  <c r="M10" i="31" s="1"/>
  <c r="F50" i="10"/>
  <c r="G50" i="10"/>
  <c r="O81" i="10"/>
  <c r="N81" i="10"/>
  <c r="M81" i="10"/>
  <c r="H81" i="10"/>
  <c r="D81" i="10"/>
  <c r="O80" i="10"/>
  <c r="N80" i="10"/>
  <c r="M80" i="10"/>
  <c r="H80" i="10"/>
  <c r="D80" i="10"/>
  <c r="O79" i="10"/>
  <c r="N79" i="10"/>
  <c r="M79" i="10"/>
  <c r="H79" i="10"/>
  <c r="D79" i="10"/>
  <c r="O78" i="10"/>
  <c r="N78" i="10"/>
  <c r="M78" i="10"/>
  <c r="H78" i="10"/>
  <c r="D78" i="10"/>
  <c r="O77" i="10"/>
  <c r="N77" i="10"/>
  <c r="M77" i="10"/>
  <c r="H77" i="10"/>
  <c r="D77" i="10"/>
  <c r="O76" i="10"/>
  <c r="N76" i="10"/>
  <c r="M76" i="10"/>
  <c r="H76" i="10"/>
  <c r="D76" i="10"/>
  <c r="O75" i="10"/>
  <c r="N75" i="10"/>
  <c r="M75" i="10"/>
  <c r="H75" i="10"/>
  <c r="D75" i="10"/>
  <c r="O74" i="10"/>
  <c r="N74" i="10"/>
  <c r="M74" i="10"/>
  <c r="H74" i="10"/>
  <c r="D74" i="10"/>
  <c r="O73" i="10"/>
  <c r="N73" i="10"/>
  <c r="M73" i="10"/>
  <c r="H73" i="10"/>
  <c r="D73" i="10"/>
  <c r="O72" i="10"/>
  <c r="N72" i="10"/>
  <c r="M72" i="10"/>
  <c r="H72" i="10"/>
  <c r="D72" i="10"/>
  <c r="O71" i="10"/>
  <c r="N71" i="10"/>
  <c r="M71" i="10"/>
  <c r="H71" i="10"/>
  <c r="D71" i="10"/>
  <c r="O70" i="10"/>
  <c r="N70" i="10"/>
  <c r="M70" i="10"/>
  <c r="H70" i="10"/>
  <c r="D70" i="10"/>
  <c r="O69" i="10"/>
  <c r="N69" i="10"/>
  <c r="M69" i="10"/>
  <c r="H69" i="10"/>
  <c r="D69" i="10"/>
  <c r="O68" i="10"/>
  <c r="N68" i="10"/>
  <c r="M68" i="10"/>
  <c r="H68" i="10"/>
  <c r="D68" i="10"/>
  <c r="O67" i="10"/>
  <c r="N67" i="10"/>
  <c r="M67" i="10"/>
  <c r="H67" i="10"/>
  <c r="D67" i="10"/>
  <c r="O66" i="10"/>
  <c r="N66" i="10"/>
  <c r="M66" i="10"/>
  <c r="H66" i="10"/>
  <c r="D66" i="10"/>
  <c r="O61" i="10"/>
  <c r="N61" i="10"/>
  <c r="M61" i="10"/>
  <c r="H61" i="10"/>
  <c r="D61" i="10"/>
  <c r="K60" i="10"/>
  <c r="O60" i="10" s="1"/>
  <c r="J60" i="10"/>
  <c r="J50" i="10" s="1"/>
  <c r="I60" i="10"/>
  <c r="M60" i="10" s="1"/>
  <c r="D60" i="10"/>
  <c r="L54" i="10"/>
  <c r="H54" i="10"/>
  <c r="D54" i="10"/>
  <c r="L53" i="10"/>
  <c r="L51" i="10"/>
  <c r="H51" i="10"/>
  <c r="D51" i="10"/>
  <c r="E33" i="10"/>
  <c r="F33" i="10"/>
  <c r="G33" i="10"/>
  <c r="O49" i="10"/>
  <c r="N49" i="10"/>
  <c r="M49" i="10"/>
  <c r="H49" i="10"/>
  <c r="D49" i="10"/>
  <c r="O48" i="10"/>
  <c r="N48" i="10"/>
  <c r="M48" i="10"/>
  <c r="H48" i="10"/>
  <c r="D48" i="10"/>
  <c r="O47" i="10"/>
  <c r="N47" i="10"/>
  <c r="M47" i="10"/>
  <c r="H47" i="10"/>
  <c r="D47" i="10"/>
  <c r="K46" i="10"/>
  <c r="O46" i="10" s="1"/>
  <c r="J46" i="10"/>
  <c r="N46" i="10" s="1"/>
  <c r="I46" i="10"/>
  <c r="M46" i="10" s="1"/>
  <c r="D46" i="10"/>
  <c r="K45" i="10"/>
  <c r="O45" i="10" s="1"/>
  <c r="J45" i="10"/>
  <c r="N45" i="10" s="1"/>
  <c r="I45" i="10"/>
  <c r="D45" i="10"/>
  <c r="K44" i="10"/>
  <c r="O44" i="10" s="1"/>
  <c r="J44" i="10"/>
  <c r="I44" i="10"/>
  <c r="M44" i="10" s="1"/>
  <c r="D44" i="10"/>
  <c r="K43" i="10"/>
  <c r="J43" i="10"/>
  <c r="N43" i="10" s="1"/>
  <c r="I43" i="10"/>
  <c r="M43" i="10" s="1"/>
  <c r="D43" i="10"/>
  <c r="K42" i="10"/>
  <c r="O42" i="10" s="1"/>
  <c r="J42" i="10"/>
  <c r="N42" i="10" s="1"/>
  <c r="I42" i="10"/>
  <c r="M42" i="10" s="1"/>
  <c r="D42" i="10"/>
  <c r="K41" i="10"/>
  <c r="O41" i="10" s="1"/>
  <c r="J41" i="10"/>
  <c r="N41" i="10" s="1"/>
  <c r="I41" i="10"/>
  <c r="M41" i="10" s="1"/>
  <c r="D41" i="10"/>
  <c r="O40" i="10"/>
  <c r="N40" i="10"/>
  <c r="M40" i="10"/>
  <c r="H40" i="10"/>
  <c r="D40" i="10"/>
  <c r="K39" i="10"/>
  <c r="O39" i="10" s="1"/>
  <c r="J39" i="10"/>
  <c r="N39" i="10" s="1"/>
  <c r="I39" i="10"/>
  <c r="M39" i="10" s="1"/>
  <c r="D39" i="10"/>
  <c r="O38" i="10"/>
  <c r="N38" i="10"/>
  <c r="M38" i="10"/>
  <c r="L38" i="10" s="1"/>
  <c r="D38" i="10"/>
  <c r="O37" i="10"/>
  <c r="N37" i="10"/>
  <c r="M37" i="10"/>
  <c r="D37" i="10"/>
  <c r="K36" i="10"/>
  <c r="O36" i="10" s="1"/>
  <c r="J36" i="10"/>
  <c r="N36" i="10" s="1"/>
  <c r="I36" i="10"/>
  <c r="M36" i="10" s="1"/>
  <c r="D36" i="10"/>
  <c r="O35" i="10"/>
  <c r="N35" i="10"/>
  <c r="M35" i="10"/>
  <c r="D35" i="10"/>
  <c r="O34" i="10"/>
  <c r="N34" i="10"/>
  <c r="M34" i="10"/>
  <c r="D34" i="10"/>
  <c r="K32" i="10"/>
  <c r="O32" i="10" s="1"/>
  <c r="J32" i="10"/>
  <c r="N32" i="10" s="1"/>
  <c r="I32" i="10"/>
  <c r="M32" i="10" s="1"/>
  <c r="D32" i="10"/>
  <c r="O31" i="10"/>
  <c r="N31" i="10"/>
  <c r="M31" i="10"/>
  <c r="D31" i="10"/>
  <c r="O30" i="10"/>
  <c r="N30" i="10"/>
  <c r="M30" i="10"/>
  <c r="D30" i="10"/>
  <c r="O29" i="10"/>
  <c r="N29" i="10"/>
  <c r="L29" i="10" s="1"/>
  <c r="H29" i="10"/>
  <c r="D29" i="10"/>
  <c r="O28" i="10"/>
  <c r="N28" i="10"/>
  <c r="M28" i="10"/>
  <c r="D28" i="10"/>
  <c r="K27" i="10"/>
  <c r="O27" i="10" s="1"/>
  <c r="J27" i="10"/>
  <c r="N27" i="10" s="1"/>
  <c r="I27" i="10"/>
  <c r="D27" i="10"/>
  <c r="K26" i="10"/>
  <c r="O26" i="10" s="1"/>
  <c r="J26" i="10"/>
  <c r="N26" i="10" s="1"/>
  <c r="I26" i="10"/>
  <c r="M26" i="10" s="1"/>
  <c r="D26" i="10"/>
  <c r="N25" i="10"/>
  <c r="K25" i="10"/>
  <c r="I25" i="10"/>
  <c r="D25" i="10"/>
  <c r="K24" i="10"/>
  <c r="O24" i="10" s="1"/>
  <c r="J24" i="10"/>
  <c r="N24" i="10" s="1"/>
  <c r="I24" i="10"/>
  <c r="M24" i="10" s="1"/>
  <c r="D24" i="10"/>
  <c r="O23" i="10"/>
  <c r="N23" i="10"/>
  <c r="M23" i="10"/>
  <c r="H23" i="10"/>
  <c r="D23" i="10"/>
  <c r="K22" i="10"/>
  <c r="O22" i="10" s="1"/>
  <c r="J22" i="10"/>
  <c r="N22" i="10" s="1"/>
  <c r="I22" i="10"/>
  <c r="M22" i="10" s="1"/>
  <c r="D22" i="10"/>
  <c r="K21" i="10"/>
  <c r="O21" i="10" s="1"/>
  <c r="J21" i="10"/>
  <c r="N21" i="10" s="1"/>
  <c r="I21" i="10"/>
  <c r="M21" i="10" s="1"/>
  <c r="D21" i="10"/>
  <c r="O20" i="10"/>
  <c r="N20" i="10"/>
  <c r="M20" i="10"/>
  <c r="D20" i="10"/>
  <c r="L20" i="10" s="1"/>
  <c r="O19" i="10"/>
  <c r="N19" i="10"/>
  <c r="M19" i="10"/>
  <c r="D19" i="10"/>
  <c r="L19" i="10" s="1"/>
  <c r="O18" i="10"/>
  <c r="N18" i="10"/>
  <c r="M18" i="10"/>
  <c r="D18" i="10"/>
  <c r="L18" i="10" s="1"/>
  <c r="K17" i="10"/>
  <c r="O17" i="10" s="1"/>
  <c r="J17" i="10"/>
  <c r="N17" i="10" s="1"/>
  <c r="I17" i="10"/>
  <c r="M17" i="10" s="1"/>
  <c r="D17" i="10"/>
  <c r="K16" i="10"/>
  <c r="O16" i="10" s="1"/>
  <c r="J16" i="10"/>
  <c r="N16" i="10" s="1"/>
  <c r="I16" i="10"/>
  <c r="M16" i="10" s="1"/>
  <c r="D16" i="10"/>
  <c r="K15" i="10"/>
  <c r="J15" i="10"/>
  <c r="I15" i="10"/>
  <c r="D15" i="10"/>
  <c r="H9" i="13" l="1"/>
  <c r="C40" i="18" s="1"/>
  <c r="H16" i="41"/>
  <c r="L70" i="10"/>
  <c r="L78" i="10"/>
  <c r="L49" i="10"/>
  <c r="L75" i="10"/>
  <c r="H61" i="13"/>
  <c r="L79" i="10"/>
  <c r="N60" i="10"/>
  <c r="D33" i="10"/>
  <c r="D50" i="10"/>
  <c r="L68" i="10"/>
  <c r="L72" i="10"/>
  <c r="L73" i="10"/>
  <c r="L77" i="10"/>
  <c r="M15" i="10"/>
  <c r="I14" i="10"/>
  <c r="M14" i="10" s="1"/>
  <c r="N13" i="7" s="1"/>
  <c r="T13" i="7" s="1"/>
  <c r="M16" i="7"/>
  <c r="H65" i="10"/>
  <c r="L80" i="10"/>
  <c r="L74" i="10"/>
  <c r="G82" i="10"/>
  <c r="G14" i="24" s="1"/>
  <c r="O65" i="10"/>
  <c r="O15" i="10"/>
  <c r="K14" i="10"/>
  <c r="O14" i="10" s="1"/>
  <c r="Q13" i="7" s="1"/>
  <c r="I50" i="10"/>
  <c r="M50" i="10" s="1"/>
  <c r="L48" i="10"/>
  <c r="M65" i="10"/>
  <c r="N65" i="10"/>
  <c r="L71" i="10"/>
  <c r="L76" i="10"/>
  <c r="E82" i="10"/>
  <c r="E14" i="24" s="1"/>
  <c r="M22" i="7"/>
  <c r="M10" i="32"/>
  <c r="N50" i="10"/>
  <c r="P19" i="7" s="1"/>
  <c r="N15" i="10"/>
  <c r="J14" i="10"/>
  <c r="N14" i="10" s="1"/>
  <c r="P13" i="7" s="1"/>
  <c r="M19" i="7"/>
  <c r="D14" i="10"/>
  <c r="L47" i="10"/>
  <c r="L67" i="10"/>
  <c r="H10" i="12"/>
  <c r="H22" i="41"/>
  <c r="D65" i="10"/>
  <c r="H16" i="43"/>
  <c r="H12" i="12" s="1"/>
  <c r="K50" i="10"/>
  <c r="O50" i="10" s="1"/>
  <c r="L66" i="10"/>
  <c r="L69" i="10"/>
  <c r="L81" i="10"/>
  <c r="H6" i="13"/>
  <c r="C39" i="18" s="1"/>
  <c r="H65" i="13"/>
  <c r="C31" i="18" s="1"/>
  <c r="L28" i="10"/>
  <c r="L32" i="10"/>
  <c r="H45" i="10"/>
  <c r="L61" i="10"/>
  <c r="H43" i="10"/>
  <c r="L35" i="10"/>
  <c r="H60" i="10"/>
  <c r="L60" i="10" s="1"/>
  <c r="L41" i="10"/>
  <c r="H36" i="10"/>
  <c r="L34" i="10"/>
  <c r="L37" i="10"/>
  <c r="L39" i="10"/>
  <c r="L40" i="10"/>
  <c r="H46" i="10"/>
  <c r="L46" i="10" s="1"/>
  <c r="K33" i="10"/>
  <c r="O33" i="10" s="1"/>
  <c r="Q16" i="7" s="1"/>
  <c r="L42" i="10"/>
  <c r="L36" i="10"/>
  <c r="J33" i="10"/>
  <c r="N33" i="10" s="1"/>
  <c r="P16" i="7" s="1"/>
  <c r="I33" i="10"/>
  <c r="M33" i="10" s="1"/>
  <c r="N16" i="7" s="1"/>
  <c r="T16" i="7" s="1"/>
  <c r="F82" i="10"/>
  <c r="F14" i="24" s="1"/>
  <c r="H44" i="10"/>
  <c r="H16" i="10"/>
  <c r="L16" i="10" s="1"/>
  <c r="H41" i="10"/>
  <c r="H42" i="10"/>
  <c r="O43" i="10"/>
  <c r="N44" i="10"/>
  <c r="L44" i="10" s="1"/>
  <c r="M45" i="10"/>
  <c r="L45" i="10" s="1"/>
  <c r="L23" i="10"/>
  <c r="H21" i="10"/>
  <c r="L21" i="10" s="1"/>
  <c r="H27" i="10"/>
  <c r="H25" i="10"/>
  <c r="L25" i="10" s="1"/>
  <c r="H24" i="10"/>
  <c r="L24" i="10" s="1"/>
  <c r="L31" i="10"/>
  <c r="H17" i="10"/>
  <c r="L17" i="10" s="1"/>
  <c r="H22" i="10"/>
  <c r="L22" i="10" s="1"/>
  <c r="H26" i="10"/>
  <c r="L26" i="10"/>
  <c r="L30" i="10"/>
  <c r="H15" i="10"/>
  <c r="M27" i="10"/>
  <c r="L27" i="10" s="1"/>
  <c r="H32" i="10"/>
  <c r="L50" i="10" l="1"/>
  <c r="Q19" i="7"/>
  <c r="Q10" i="31"/>
  <c r="N19" i="7"/>
  <c r="T19" i="7" s="1"/>
  <c r="N10" i="31"/>
  <c r="O10" i="31" s="1"/>
  <c r="O19" i="7" s="1"/>
  <c r="P10" i="31"/>
  <c r="N10" i="32"/>
  <c r="N22" i="7"/>
  <c r="P10" i="32"/>
  <c r="P22" i="7"/>
  <c r="P10" i="7" s="1"/>
  <c r="M10" i="7"/>
  <c r="N10" i="7"/>
  <c r="H14" i="10"/>
  <c r="H22" i="12"/>
  <c r="C32" i="18" s="1"/>
  <c r="Q22" i="7"/>
  <c r="Q10" i="7" s="1"/>
  <c r="Q10" i="32"/>
  <c r="K82" i="10"/>
  <c r="K14" i="24" s="1"/>
  <c r="H50" i="10"/>
  <c r="I82" i="10"/>
  <c r="I14" i="24" s="1"/>
  <c r="D82" i="10"/>
  <c r="D14" i="24" s="1"/>
  <c r="L65" i="10"/>
  <c r="J82" i="10"/>
  <c r="J14" i="24" s="1"/>
  <c r="H73" i="13"/>
  <c r="C25" i="18" s="1"/>
  <c r="H33" i="10"/>
  <c r="L15" i="10"/>
  <c r="L14" i="10" s="1"/>
  <c r="L43" i="10"/>
  <c r="L33" i="10" s="1"/>
  <c r="C27" i="18" l="1"/>
  <c r="M82" i="10"/>
  <c r="M14" i="24" s="1"/>
  <c r="O82" i="10"/>
  <c r="O14" i="24" s="1"/>
  <c r="L82" i="10"/>
  <c r="L14" i="24" s="1"/>
  <c r="H82" i="10"/>
  <c r="H14" i="24" s="1"/>
  <c r="N82" i="10"/>
  <c r="N14" i="24" s="1"/>
  <c r="K10" i="7" l="1"/>
  <c r="C29" i="18" l="1"/>
  <c r="C24" i="18" s="1"/>
  <c r="C14" i="19" s="1"/>
  <c r="E10" i="7" l="1"/>
  <c r="F81" i="1" l="1"/>
  <c r="K82" i="1"/>
  <c r="K81" i="1" s="1"/>
  <c r="D30" i="1"/>
  <c r="K76" i="1"/>
  <c r="K75" i="1"/>
  <c r="F69" i="1"/>
  <c r="K69" i="1" s="1"/>
  <c r="K70" i="1"/>
  <c r="F77" i="3" l="1"/>
  <c r="F76" i="3"/>
  <c r="J62" i="3"/>
  <c r="I62" i="3"/>
  <c r="H62" i="3"/>
  <c r="G62" i="3"/>
  <c r="F62" i="3"/>
  <c r="E62" i="3"/>
  <c r="D62" i="3"/>
  <c r="J55" i="3"/>
  <c r="I55" i="3"/>
  <c r="H55" i="3"/>
  <c r="G55" i="3"/>
  <c r="F55" i="3"/>
  <c r="E55" i="3"/>
  <c r="D55" i="3"/>
  <c r="J39" i="3"/>
  <c r="I39" i="3"/>
  <c r="H39" i="3"/>
  <c r="G39" i="3"/>
  <c r="F39" i="3"/>
  <c r="E39" i="3"/>
  <c r="D39" i="3"/>
  <c r="J33" i="3"/>
  <c r="I33" i="3"/>
  <c r="H33" i="3"/>
  <c r="G33" i="3"/>
  <c r="F33" i="3"/>
  <c r="E33" i="3"/>
  <c r="D33" i="3"/>
  <c r="J30" i="3"/>
  <c r="F30" i="3"/>
  <c r="J29" i="3"/>
  <c r="F29" i="3"/>
  <c r="J15" i="3"/>
  <c r="I15" i="3"/>
  <c r="H15" i="3"/>
  <c r="G15" i="3"/>
  <c r="F15" i="3"/>
  <c r="E15" i="3"/>
  <c r="D15" i="3"/>
  <c r="J8" i="3"/>
  <c r="I8" i="3"/>
  <c r="H8" i="3"/>
  <c r="G8" i="3"/>
  <c r="F8" i="3"/>
  <c r="E8" i="3"/>
  <c r="D8" i="3"/>
  <c r="C12" i="28" l="1"/>
  <c r="C17" i="18" s="1"/>
  <c r="H71" i="3"/>
  <c r="E47" i="3"/>
  <c r="H24" i="3"/>
  <c r="G24" i="3"/>
  <c r="F24" i="3"/>
  <c r="E24" i="3"/>
  <c r="D24" i="3"/>
  <c r="J24" i="3"/>
  <c r="I24" i="3"/>
  <c r="D47" i="3"/>
  <c r="J47" i="3"/>
  <c r="I47" i="3"/>
  <c r="H47" i="3"/>
  <c r="G47" i="3"/>
  <c r="F47" i="3"/>
  <c r="G71" i="3"/>
  <c r="F71" i="3"/>
  <c r="E71" i="3"/>
  <c r="D71" i="3"/>
  <c r="J71" i="3"/>
  <c r="I71" i="3"/>
  <c r="N38" i="20" l="1"/>
  <c r="N37" i="20"/>
  <c r="N36" i="20"/>
  <c r="N34" i="20"/>
  <c r="N35" i="20"/>
  <c r="N32" i="20"/>
  <c r="N31" i="20"/>
  <c r="N30" i="20"/>
  <c r="N29" i="20"/>
  <c r="N28" i="20"/>
  <c r="N26" i="20"/>
  <c r="N25" i="20"/>
  <c r="N24" i="20"/>
  <c r="N23" i="20"/>
  <c r="N22" i="20"/>
  <c r="N20" i="20"/>
  <c r="N19" i="20"/>
  <c r="N18" i="20"/>
  <c r="N17" i="20"/>
  <c r="N16" i="20"/>
  <c r="N15" i="20"/>
  <c r="N14" i="20"/>
  <c r="N13" i="20"/>
  <c r="N12" i="20"/>
  <c r="N11" i="20"/>
  <c r="N10" i="20"/>
  <c r="N9" i="20"/>
  <c r="N8" i="20"/>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C12" i="18" l="1"/>
  <c r="M21" i="20"/>
  <c r="N21" i="20"/>
  <c r="K21" i="20"/>
  <c r="C10" i="18"/>
  <c r="C11" i="18"/>
  <c r="C13" i="18"/>
  <c r="C14" i="18"/>
  <c r="L21" i="20"/>
  <c r="J12" i="29"/>
  <c r="J11" i="29"/>
  <c r="J10" i="29"/>
  <c r="C9" i="18" l="1"/>
  <c r="C20" i="29"/>
  <c r="C19" i="29"/>
  <c r="C18" i="29"/>
  <c r="C17" i="29"/>
  <c r="C15" i="29"/>
  <c r="C14" i="29"/>
  <c r="F12" i="29"/>
  <c r="C12" i="29" s="1"/>
  <c r="F11" i="29"/>
  <c r="C11" i="29" s="1"/>
  <c r="F10" i="29"/>
  <c r="C10" i="29" s="1"/>
  <c r="O16" i="28"/>
  <c r="O15" i="28"/>
  <c r="M16" i="28"/>
  <c r="M15" i="28"/>
  <c r="K16" i="28"/>
  <c r="K15" i="28"/>
  <c r="I16" i="28"/>
  <c r="I15" i="28"/>
  <c r="G16" i="28"/>
  <c r="G15" i="28"/>
  <c r="E16" i="28"/>
  <c r="E15" i="28"/>
  <c r="O14" i="28"/>
  <c r="M14" i="28"/>
  <c r="K14" i="28"/>
  <c r="I14" i="28"/>
  <c r="G14" i="28"/>
  <c r="E14" i="28"/>
  <c r="O13" i="28"/>
  <c r="M13" i="28"/>
  <c r="K13" i="28"/>
  <c r="I13" i="28"/>
  <c r="G13" i="28"/>
  <c r="E13" i="28"/>
  <c r="C15" i="28" l="1"/>
  <c r="AC15" i="28" s="1"/>
  <c r="C13" i="28"/>
  <c r="AC13" i="28" s="1"/>
  <c r="C14" i="28"/>
  <c r="AC14" i="28" s="1"/>
  <c r="C16" i="28"/>
  <c r="AC16" i="28" s="1"/>
  <c r="C13" i="29"/>
  <c r="C16" i="29"/>
  <c r="C9" i="29"/>
  <c r="K9" i="29" s="1"/>
  <c r="D10" i="22"/>
  <c r="D9" i="22"/>
  <c r="E10" i="22"/>
  <c r="E9" i="22"/>
  <c r="C10" i="19"/>
  <c r="C9" i="19"/>
  <c r="C42" i="18"/>
  <c r="C16" i="19" s="1"/>
  <c r="C15" i="18"/>
  <c r="C8" i="18" s="1"/>
  <c r="C13" i="19" s="1"/>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50" i="20"/>
  <c r="N49" i="20"/>
  <c r="F27" i="16"/>
  <c r="I34" i="8"/>
  <c r="J34" i="8" s="1"/>
  <c r="J33" i="8" s="1"/>
  <c r="L33" i="8"/>
  <c r="K33" i="8"/>
  <c r="H33" i="8"/>
  <c r="G33" i="8"/>
  <c r="F33" i="8"/>
  <c r="I30" i="8"/>
  <c r="I29" i="8" s="1"/>
  <c r="L29" i="8"/>
  <c r="K29" i="8"/>
  <c r="K28" i="8" s="1"/>
  <c r="H29" i="8"/>
  <c r="G29" i="8"/>
  <c r="F29" i="8"/>
  <c r="I16" i="8"/>
  <c r="I15" i="8" s="1"/>
  <c r="L15" i="8"/>
  <c r="K15" i="8"/>
  <c r="H15" i="8"/>
  <c r="G15" i="8"/>
  <c r="F15" i="8"/>
  <c r="I12" i="8"/>
  <c r="J12" i="8" s="1"/>
  <c r="J11" i="8" s="1"/>
  <c r="L11" i="8"/>
  <c r="L10" i="8" s="1"/>
  <c r="K11" i="8"/>
  <c r="H11" i="8"/>
  <c r="G11" i="8"/>
  <c r="F11" i="8"/>
  <c r="L28" i="8" l="1"/>
  <c r="H10" i="8"/>
  <c r="H28" i="8"/>
  <c r="F10" i="8"/>
  <c r="C17" i="28"/>
  <c r="F28" i="8"/>
  <c r="G10" i="8"/>
  <c r="J16" i="8"/>
  <c r="J15" i="8" s="1"/>
  <c r="J10" i="8" s="1"/>
  <c r="G28" i="8"/>
  <c r="K39" i="3"/>
  <c r="N74" i="20"/>
  <c r="I33" i="8"/>
  <c r="I28" i="8" s="1"/>
  <c r="K10" i="8"/>
  <c r="I11" i="8"/>
  <c r="I10" i="8" s="1"/>
  <c r="J30" i="8"/>
  <c r="J29" i="8" s="1"/>
  <c r="J28" i="8" s="1"/>
  <c r="K62" i="5"/>
  <c r="K60" i="5"/>
  <c r="K59" i="5"/>
  <c r="J58" i="5"/>
  <c r="I58" i="5"/>
  <c r="H58" i="5"/>
  <c r="G58" i="5"/>
  <c r="F58" i="5"/>
  <c r="E58" i="5"/>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I32" i="4" s="1"/>
  <c r="H35" i="4"/>
  <c r="G35" i="4"/>
  <c r="F35" i="4"/>
  <c r="E35" i="4"/>
  <c r="D35" i="4"/>
  <c r="J34" i="4"/>
  <c r="I34" i="4"/>
  <c r="H34" i="4"/>
  <c r="G34" i="4"/>
  <c r="F34" i="4"/>
  <c r="E34" i="4"/>
  <c r="D34" i="4"/>
  <c r="J33" i="4"/>
  <c r="I33" i="4"/>
  <c r="H33" i="4"/>
  <c r="G33" i="4"/>
  <c r="F33" i="4"/>
  <c r="E33" i="4"/>
  <c r="D33" i="4"/>
  <c r="K31" i="4"/>
  <c r="K30" i="4"/>
  <c r="K29" i="4"/>
  <c r="K28" i="4"/>
  <c r="K27" i="4"/>
  <c r="J26" i="4"/>
  <c r="I26" i="4"/>
  <c r="H26" i="4"/>
  <c r="G26" i="4"/>
  <c r="F26" i="4"/>
  <c r="E26" i="4"/>
  <c r="D26" i="4"/>
  <c r="K25" i="4"/>
  <c r="K24" i="4"/>
  <c r="K23" i="4"/>
  <c r="J22" i="4"/>
  <c r="I22" i="4"/>
  <c r="H22" i="4"/>
  <c r="G22" i="4"/>
  <c r="F22" i="4"/>
  <c r="E22" i="4"/>
  <c r="D22" i="4"/>
  <c r="J20" i="4"/>
  <c r="I20" i="4"/>
  <c r="H20" i="4"/>
  <c r="G20" i="4"/>
  <c r="F20" i="4"/>
  <c r="E20" i="4"/>
  <c r="D20" i="4"/>
  <c r="J19" i="4"/>
  <c r="I19" i="4"/>
  <c r="H19" i="4"/>
  <c r="G19" i="4"/>
  <c r="F19" i="4"/>
  <c r="E19" i="4"/>
  <c r="D19" i="4"/>
  <c r="J18" i="4"/>
  <c r="I18" i="4"/>
  <c r="H18" i="4"/>
  <c r="G18" i="4"/>
  <c r="F18" i="4"/>
  <c r="E18" i="4"/>
  <c r="D18" i="4"/>
  <c r="K16" i="4"/>
  <c r="K15" i="4"/>
  <c r="K14" i="4"/>
  <c r="K13" i="4"/>
  <c r="K12" i="4"/>
  <c r="J11" i="4"/>
  <c r="I11" i="4"/>
  <c r="H11" i="4"/>
  <c r="G11" i="4"/>
  <c r="F11" i="4"/>
  <c r="E11" i="4"/>
  <c r="D11" i="4"/>
  <c r="K10" i="4"/>
  <c r="K9" i="4"/>
  <c r="K8" i="4"/>
  <c r="J7" i="4"/>
  <c r="I7" i="4"/>
  <c r="H7" i="4"/>
  <c r="G7" i="4"/>
  <c r="F7" i="4"/>
  <c r="E7" i="4"/>
  <c r="D7" i="4"/>
  <c r="K70" i="3"/>
  <c r="K69" i="3"/>
  <c r="K65" i="3"/>
  <c r="K60" i="3"/>
  <c r="K59" i="3"/>
  <c r="K58" i="3"/>
  <c r="K57" i="3"/>
  <c r="K56" i="3"/>
  <c r="K23" i="3"/>
  <c r="K22" i="3"/>
  <c r="K20" i="3"/>
  <c r="K19" i="3"/>
  <c r="K18" i="3"/>
  <c r="K17" i="3"/>
  <c r="K16" i="3"/>
  <c r="K13" i="3"/>
  <c r="K12" i="3"/>
  <c r="K11" i="3"/>
  <c r="K10" i="3"/>
  <c r="K9" i="3"/>
  <c r="K46" i="5" l="1"/>
  <c r="F32" i="4"/>
  <c r="H17" i="4"/>
  <c r="I17" i="4"/>
  <c r="K7" i="4"/>
  <c r="K58" i="5"/>
  <c r="E17" i="4"/>
  <c r="K20" i="4"/>
  <c r="G32" i="4"/>
  <c r="K19" i="5"/>
  <c r="K18" i="4"/>
  <c r="K26" i="4"/>
  <c r="J32" i="4"/>
  <c r="K35" i="4"/>
  <c r="K25" i="5"/>
  <c r="J17" i="4"/>
  <c r="H32" i="4"/>
  <c r="K12" i="5"/>
  <c r="K51" i="5"/>
  <c r="K11" i="4"/>
  <c r="F17" i="4"/>
  <c r="K22" i="4"/>
  <c r="D32" i="4"/>
  <c r="E32" i="4"/>
  <c r="G17" i="4"/>
  <c r="K19" i="4"/>
  <c r="K7" i="5"/>
  <c r="K31" i="5"/>
  <c r="K47" i="3"/>
  <c r="K62" i="3"/>
  <c r="K55" i="3"/>
  <c r="K29" i="3"/>
  <c r="K15" i="3"/>
  <c r="K77" i="3"/>
  <c r="K76" i="3"/>
  <c r="K8" i="3"/>
  <c r="K30" i="3"/>
  <c r="K33" i="4"/>
  <c r="D17" i="4"/>
  <c r="K34" i="4"/>
  <c r="K17" i="4" l="1"/>
  <c r="K32" i="4"/>
  <c r="K24" i="3"/>
  <c r="K71" i="3"/>
  <c r="C11" i="7"/>
  <c r="C10" i="7" s="1"/>
  <c r="H84" i="32"/>
  <c r="I84" i="32"/>
  <c r="H88" i="32"/>
  <c r="I88" i="32"/>
  <c r="J88" i="32" s="1"/>
  <c r="H87" i="32"/>
  <c r="I87" i="32"/>
  <c r="J87" i="32" s="1"/>
  <c r="I86" i="32"/>
  <c r="J86" i="32" s="1"/>
  <c r="H86" i="32"/>
  <c r="H85" i="32"/>
  <c r="I85" i="32"/>
  <c r="J85" i="32" s="1"/>
  <c r="J84" i="32" l="1"/>
  <c r="J83" i="32" s="1"/>
  <c r="J53" i="32" s="1"/>
  <c r="J12" i="32" s="1"/>
  <c r="J11" i="32" s="1"/>
  <c r="J10" i="32" s="1"/>
  <c r="I83" i="32"/>
  <c r="I53" i="32" s="1"/>
  <c r="I12" i="32" s="1"/>
  <c r="I11" i="32" s="1"/>
  <c r="I10" i="32" s="1"/>
  <c r="H83" i="32"/>
  <c r="H53" i="32" s="1"/>
  <c r="H25" i="43"/>
  <c r="O10" i="32" l="1"/>
  <c r="O22" i="7" s="1"/>
  <c r="O10" i="7" s="1"/>
  <c r="S22" i="7"/>
  <c r="H24" i="7"/>
  <c r="H22" i="7" s="1"/>
  <c r="H12" i="7" s="1"/>
  <c r="H11" i="7" s="1"/>
  <c r="H10" i="7" s="1"/>
  <c r="H12" i="32"/>
  <c r="H11" i="32" s="1"/>
  <c r="H10" i="32" s="1"/>
  <c r="I24" i="7"/>
  <c r="I22" i="7" s="1"/>
  <c r="I12" i="7" s="1"/>
  <c r="I11" i="7" s="1"/>
  <c r="I10" i="7" s="1"/>
  <c r="J24" i="7"/>
  <c r="J22" i="7" s="1"/>
  <c r="S10" i="7" l="1"/>
  <c r="T22" i="7"/>
  <c r="T10" i="7" s="1"/>
  <c r="J12" i="7"/>
  <c r="J11" i="7" s="1"/>
  <c r="J10" i="7" s="1"/>
  <c r="R10" i="7" s="1"/>
  <c r="T30" i="7"/>
  <c r="T26" i="7" s="1"/>
  <c r="AA12" i="28"/>
  <c r="P12" i="28" s="1"/>
  <c r="P17" i="28" l="1"/>
  <c r="AC17" i="28" s="1"/>
  <c r="C8" i="19" s="1"/>
  <c r="C7" i="19" s="1"/>
  <c r="AC12" i="28"/>
  <c r="C41" i="18" s="1"/>
  <c r="C38" i="18" s="1"/>
  <c r="C15" i="19" l="1"/>
  <c r="C7" i="18"/>
  <c r="C12" i="19" s="1"/>
  <c r="C17" i="19" s="1"/>
</calcChain>
</file>

<file path=xl/comments1.xml><?xml version="1.0" encoding="utf-8"?>
<comments xmlns="http://schemas.openxmlformats.org/spreadsheetml/2006/main">
  <authors>
    <author>HOANG NGUYEN</author>
  </authors>
  <commentList>
    <comment ref="M9" authorId="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2.xml><?xml version="1.0" encoding="utf-8"?>
<comments xmlns="http://schemas.openxmlformats.org/spreadsheetml/2006/main">
  <authors>
    <author>HOANG NGUYEN</author>
  </authors>
  <commentList>
    <comment ref="M9" authorId="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3.xml><?xml version="1.0" encoding="utf-8"?>
<comments xmlns="http://schemas.openxmlformats.org/spreadsheetml/2006/main">
  <authors>
    <author>HOANG NGUYEN</author>
  </authors>
  <commentList>
    <comment ref="M9" authorId="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4.xml><?xml version="1.0" encoding="utf-8"?>
<comments xmlns="http://schemas.openxmlformats.org/spreadsheetml/2006/main">
  <authors>
    <author>HOANG NGUYEN</author>
  </authors>
  <commentList>
    <comment ref="M9" authorId="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5.xml><?xml version="1.0" encoding="utf-8"?>
<comments xmlns="http://schemas.openxmlformats.org/spreadsheetml/2006/main">
  <authors>
    <author>HOANG NGUYEN</author>
  </authors>
  <commentList>
    <comment ref="M9" authorId="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6.xml><?xml version="1.0" encoding="utf-8"?>
<comments xmlns="http://schemas.openxmlformats.org/spreadsheetml/2006/main">
  <authors>
    <author>Microsoft Office User</author>
  </authors>
  <commentList>
    <comment ref="C18" authorId="0">
      <text>
        <r>
          <rPr>
            <b/>
            <sz val="10"/>
            <color rgb="FF000000"/>
            <rFont val="Tahoma"/>
            <family val="2"/>
          </rPr>
          <t>Microsoft Office User:</t>
        </r>
        <r>
          <rPr>
            <sz val="10"/>
            <color rgb="FF000000"/>
            <rFont val="Tahoma"/>
            <family val="2"/>
          </rPr>
          <t xml:space="preserve">
</t>
        </r>
        <r>
          <rPr>
            <sz val="10"/>
            <color rgb="FF000000"/>
            <rFont val="Tahoma"/>
            <family val="2"/>
          </rPr>
          <t>Số liệu: 12 sinh viên mồ côi</t>
        </r>
      </text>
    </comment>
  </commentList>
</comments>
</file>

<file path=xl/sharedStrings.xml><?xml version="1.0" encoding="utf-8"?>
<sst xmlns="http://schemas.openxmlformats.org/spreadsheetml/2006/main" count="3897" uniqueCount="1484">
  <si>
    <t>TRƯỜNG ĐẠI HỌC VINH</t>
  </si>
  <si>
    <t>Biểu số 1</t>
  </si>
  <si>
    <t>Tên đơn vị:………..………</t>
  </si>
  <si>
    <t>QUY MÔ ĐÀO TẠO SINH VIÊN CHÍNH QUY NĂM 2022</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</si>
  <si>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</si>
  <si>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</si>
  <si>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</si>
  <si>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</si>
  <si>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</si>
  <si>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</si>
  <si>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</si>
  <si>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</si>
  <si>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</si>
  <si>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</si>
  <si>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</si>
  <si>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</si>
  <si>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Ghi chú</t>
  </si>
  <si>
    <t>A</t>
  </si>
  <si>
    <t xml:space="preserve">Đào tạo chính quy </t>
  </si>
  <si>
    <t>I</t>
  </si>
  <si>
    <t>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</si>
  <si>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</si>
  <si>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</si>
  <si>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</si>
  <si>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</si>
  <si>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</si>
  <si>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</si>
  <si>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</si>
  <si>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</si>
  <si>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</si>
  <si>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</si>
  <si>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</si>
  <si>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</si>
  <si>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t>
  </si>
  <si>
    <t>.- Khóa 63 (Dự kiến tuyển năm 2022)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</si>
  <si>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</si>
  <si>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</si>
  <si>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</si>
  <si>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</si>
  <si>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</si>
  <si>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</si>
  <si>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II</t>
  </si>
  <si>
    <t>Nghệ An, ngày       tháng       năm 2021</t>
  </si>
  <si>
    <t>TRƯỞNG ĐƠN VỊ</t>
  </si>
  <si>
    <t>QUY MÔ ĐÀO TẠO SAU ĐẠI HỌC NĂM 2022</t>
  </si>
  <si>
    <t>ĐÀO TẠO THẠC SỸ</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</si>
  <si>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</si>
  <si>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</si>
  <si>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</si>
  <si>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</si>
  <si>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</si>
  <si>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</si>
  <si>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</si>
  <si>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</si>
  <si>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</si>
  <si>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ĐÀO TẠO TIẾN SỸ</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</si>
  <si>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</si>
  <si>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</si>
  <si>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</si>
  <si>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</si>
  <si>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</si>
  <si>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</si>
  <si>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</si>
  <si>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</si>
  <si>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</si>
  <si>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Lưu ý: số lượng các đơn vị cập nhật phải khớp với số lượng các phòng ban chức năng cung cấp</t>
  </si>
  <si>
    <t>QUY MÔ ĐÀO TẠO VỪA LÀM VỪA HỌC - ĐÀO TẠO TỪ XA NĂM 2022</t>
  </si>
  <si>
    <t>ĐÀO TẠO VỪA LÀM VỪA HỌC</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</si>
  <si>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</si>
  <si>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</si>
  <si>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</si>
  <si>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</si>
  <si>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</si>
  <si>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</si>
  <si>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</si>
  <si>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</si>
  <si>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</si>
  <si>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</si>
  <si>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</si>
  <si>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</si>
  <si>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</si>
  <si>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</si>
  <si>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</si>
  <si>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</si>
  <si>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</si>
  <si>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</si>
  <si>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</si>
  <si>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</si>
  <si>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</si>
  <si>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</si>
  <si>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</si>
  <si>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</si>
  <si>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</si>
  <si>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</si>
  <si>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</si>
  <si>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</si>
  <si>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</si>
  <si>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</si>
  <si>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</si>
  <si>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</si>
  <si>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</si>
  <si>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</si>
  <si>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</si>
  <si>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</si>
  <si>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</si>
  <si>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</si>
  <si>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</si>
  <si>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</si>
  <si>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</si>
  <si>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</si>
  <si>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</si>
  <si>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</si>
  <si>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</si>
  <si>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III</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</si>
  <si>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</si>
  <si>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</si>
  <si>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</si>
  <si>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</si>
  <si>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</si>
  <si>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</si>
  <si>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</si>
  <si>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</si>
  <si>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</si>
  <si>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</si>
  <si>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(Mẫu dành cho các đơn vị đào tạo từ bậc đại học trở lên)</t>
  </si>
  <si>
    <t xml:space="preserve">Đơn vị tính: </t>
  </si>
  <si>
    <t xml:space="preserve">Tên học phần hoặc chuyên đề; 
hướng dẫn luận văn, đồ án, luận án </t>
  </si>
  <si>
    <t>Số TC theo chương trình đào tạo</t>
  </si>
  <si>
    <t>Số lớp TC dự kiến mở</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</si>
  <si>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</si>
  <si>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</si>
  <si>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</si>
  <si>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</si>
  <si>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</si>
  <si>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</si>
  <si>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</si>
  <si>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</si>
  <si>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</si>
  <si>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</si>
  <si>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</si>
  <si>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</si>
  <si>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</si>
  <si>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</si>
  <si>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</si>
  <si>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(7)</t>
  </si>
  <si>
    <t>(10)</t>
  </si>
  <si>
    <t>(11)</t>
  </si>
  <si>
    <t>(12)</t>
  </si>
  <si>
    <t>(13)</t>
  </si>
  <si>
    <t>(14)</t>
  </si>
  <si>
    <t>(15)</t>
  </si>
  <si>
    <t>(16)</t>
  </si>
  <si>
    <t>(17)</t>
  </si>
  <si>
    <t>Đào tạo chinh quy (gồm cả trong và ngoài Trường)</t>
  </si>
  <si>
    <t>a</t>
  </si>
  <si>
    <t>a.1</t>
  </si>
  <si>
    <t>a.2</t>
  </si>
  <si>
    <t>a.3</t>
  </si>
  <si>
    <t>a.4</t>
  </si>
  <si>
    <t>a.5</t>
  </si>
  <si>
    <t>a.6</t>
  </si>
  <si>
    <t>b</t>
  </si>
  <si>
    <t>Hướng dẫn thực tế, thực tập; luận văn và đổ án TN</t>
  </si>
  <si>
    <t>b.1</t>
  </si>
  <si>
    <t>b.2</t>
  </si>
  <si>
    <t>b.3</t>
  </si>
  <si>
    <t>b.4</t>
  </si>
  <si>
    <t>Tổ BM hướng dẫn thực tập</t>
  </si>
  <si>
    <t>b.5</t>
  </si>
  <si>
    <t xml:space="preserve">Giảng dạy Thạc sỹ </t>
  </si>
  <si>
    <t>Hướng dẫn luận văn TN</t>
  </si>
  <si>
    <t>Đào tạo Nghiên cứu sinh</t>
  </si>
  <si>
    <t>Hướng dẫn chuyên đề</t>
  </si>
  <si>
    <t>c</t>
  </si>
  <si>
    <t>Hướng dẫn Luận án</t>
  </si>
  <si>
    <t>Đào tạo không chính quy (gồm cả trong, ngoài Trường)</t>
  </si>
  <si>
    <t>Đào tạo ĐH vừa làm vừa học</t>
  </si>
  <si>
    <t>Đại học Giáo dục từ xa</t>
  </si>
  <si>
    <t>B</t>
  </si>
  <si>
    <t>x</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</si>
  <si>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</si>
  <si>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</si>
  <si>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</si>
  <si>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</si>
  <si>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</si>
  <si>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</si>
  <si>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</si>
  <si>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</si>
  <si>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Họ và tên</t>
  </si>
  <si>
    <t>Chức danh</t>
  </si>
  <si>
    <t>Tên môn học, Chủ nhiệm lớp</t>
  </si>
  <si>
    <t>Các lớp đảm nhận</t>
  </si>
  <si>
    <t>Số giờ miễn</t>
  </si>
  <si>
    <t>(6)</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</si>
  <si>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</si>
  <si>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</si>
  <si>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</si>
  <si>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</si>
  <si>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</si>
  <si>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</si>
  <si>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</si>
  <si>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</si>
  <si>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</si>
  <si>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</si>
  <si>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</si>
  <si>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</si>
  <si>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</si>
  <si>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</si>
  <si>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</si>
  <si>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</si>
  <si>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</si>
  <si>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</si>
  <si>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</si>
  <si>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</si>
  <si>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</si>
  <si>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</si>
  <si>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</si>
  <si>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</si>
  <si>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</si>
  <si>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</si>
  <si>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</si>
  <si>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</si>
  <si>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</si>
  <si>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</si>
  <si>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1a DH Chính quy</t>
  </si>
  <si>
    <t>Biểu 1b Sau đại học</t>
  </si>
  <si>
    <t>Dành cho các đơn vị có đào tạo bậc sau đại học</t>
  </si>
  <si>
    <t>Biểu 1c VLVH - TX</t>
  </si>
  <si>
    <t>Dành cho các đơn vị có đào tạo hệ vừa làm vừa học, từ xa</t>
  </si>
  <si>
    <t>Dành cho các đơn vị có đào tạo sinh viên đại học chính quy, liên thông, văn bằng 2</t>
  </si>
  <si>
    <t>Biểu 1d THPT</t>
  </si>
  <si>
    <t>Dành cho Trường THPT Chuyên</t>
  </si>
  <si>
    <t>Biểu 1e THSP</t>
  </si>
  <si>
    <t>Dành cho Trường THSP</t>
  </si>
  <si>
    <t>Biểu 2</t>
  </si>
  <si>
    <t>Biểu số 3</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</si>
  <si>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</si>
  <si>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</si>
  <si>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</si>
  <si>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</si>
  <si>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</si>
  <si>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</si>
  <si>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</si>
  <si>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</si>
  <si>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</si>
  <si>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</si>
  <si>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</si>
  <si>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Nghệ An, ngày ….. tháng ….. năm 2021</t>
  </si>
  <si>
    <t>Biểu</t>
  </si>
  <si>
    <t>Tên biểu</t>
  </si>
  <si>
    <t>Đơn vị áp dụng</t>
  </si>
  <si>
    <t>BỘ GIÁO DỤC VÀ ĐÀO TẠO</t>
  </si>
  <si>
    <t>TRƯỜNG ĐAI HỌC VINH</t>
  </si>
  <si>
    <t>DANH MỤC CÁC MẪU BIỂU VÀ ĐƠN VỊ ÁP DỤNG DÀNH CHO XÂY DỰNG KẾ HOẠCH TÀI CHÍNH NĂM 2022</t>
  </si>
  <si>
    <t>Tổng cộng toàn đơn vị:</t>
  </si>
  <si>
    <t>.- Khóa 63 (Dự kiến tuyển năm 2022)
"Giao kế hoạch tối thiểu bằng số tuyển sinh của K62;"</t>
  </si>
  <si>
    <t xml:space="preserve">        TRƯỜNG ĐẠI HỌC VINH</t>
  </si>
  <si>
    <t>Biểu số 4</t>
  </si>
  <si>
    <t>BẢNG TỔNG HỢP CÁC HOẠT ĐỘNG ĐÀO TẠO, THỰC HÀNH - THÍ NGHIỆM ĐỀ NGHỊ CẤP KINH PHÍ NĂM TÀI CHÍNH 2022</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</si>
  <si>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</si>
  <si>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</si>
  <si>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</si>
  <si>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</si>
  <si>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</si>
  <si>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</si>
  <si>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</si>
  <si>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</si>
  <si>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</si>
  <si>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Công tác thực tập, kiến tập, thực tế, rèn nghề, hoạt động khác</t>
  </si>
  <si>
    <t>Hoạt động chung của khoa</t>
  </si>
  <si>
    <t>Hoạt động của các Bộ môn</t>
  </si>
  <si>
    <t>Tổng cộng:</t>
  </si>
  <si>
    <t xml:space="preserve">Ghi chú: </t>
  </si>
  <si>
    <r>
      <t xml:space="preserve"> -</t>
    </r>
    <r>
      <rPr>
        <sz val="11"/>
        <color indexed="8"/>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</si>
  <si>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</si>
  <si>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 xml:space="preserve">    TRƯỜNG ĐẠI HỌC VINH</t>
  </si>
  <si>
    <t>Biểu số 5</t>
  </si>
  <si>
    <t>BẢNG TỔNG HỢP TÀI SẢN, CÔNG CỤ, DỤNG CỤ ĐỀ NGHỊ NHÀ TRƯỜNG MUA SẮM 
NĂM TÀI CHÍNH 2022</t>
  </si>
  <si>
    <t>Các nội dung cần mua sắm tài sản</t>
  </si>
  <si>
    <t>Đơn giá</t>
  </si>
  <si>
    <t>Thành tiền</t>
  </si>
  <si>
    <t>Trang thiết bị phục vụ công tác đào tạo</t>
  </si>
  <si>
    <t>Tài liệu giáo trình</t>
  </si>
  <si>
    <t>Văn phòng phẩm</t>
  </si>
  <si>
    <t xml:space="preserve">Sửa chữa, bảo dưỡng tài sản có giá trị </t>
  </si>
  <si>
    <t>Khác</t>
  </si>
  <si>
    <t>Nghệ An, ngày      tháng      năm 2021</t>
  </si>
  <si>
    <t>Biểu số 6</t>
  </si>
  <si>
    <t>CÔNG TÁC TỔ CHỨC CÁN BỘ VÀ KẾ HOẠCH HỌC TẬP, BỒI DƯỠNG NĂM HỌC 2022</t>
  </si>
  <si>
    <t>Chức vụ</t>
  </si>
  <si>
    <t>Biểu số 7</t>
  </si>
  <si>
    <t>KẾ HOẠCH ĐĂNG KÝ NGHIÊN CỨU KHOA HỌC NĂM TÀI CHÍNH 2022</t>
  </si>
  <si>
    <t>Nội dung Nghiên cứu khoa học</t>
  </si>
  <si>
    <t>Chủ trì đề tài, dự án</t>
  </si>
  <si>
    <t>Số kinh phí</t>
  </si>
  <si>
    <t>Các đề tài dự án do Bộ Giáo dục và Đào tạo giao theo dự toán</t>
  </si>
  <si>
    <t>Các đề tài, dự án cấp Nhà nước</t>
  </si>
  <si>
    <t>Các đề tài, dự án cấp Bộ</t>
  </si>
  <si>
    <t>Các đề tài, dự án cấp tỉnh</t>
  </si>
  <si>
    <t xml:space="preserve">Các đề tài, dự án do các đơn vị liên hệ và Trường ký hợp đồng </t>
  </si>
  <si>
    <t>IV</t>
  </si>
  <si>
    <t>V</t>
  </si>
  <si>
    <t>VI</t>
  </si>
  <si>
    <t>Biểu số 8</t>
  </si>
  <si>
    <t>ĐƠN VỊ: .....................</t>
  </si>
  <si>
    <t>KẾ HOẠCH GIẢNG DẠY ĐÀO TẠO NGẮN HẠN CẤP CHỨNG CHỈ
NĂM TÀI CHÍNH 2022</t>
  </si>
  <si>
    <t>Đơn vị tính: Nghìn đồng</t>
  </si>
  <si>
    <t>TT</t>
  </si>
  <si>
    <t>Nội dung đào tạo</t>
  </si>
  <si>
    <t>Số lượng HV, Chứng chỉ</t>
  </si>
  <si>
    <t>Học phí bình quân/người học</t>
  </si>
  <si>
    <t>KP cấp chứng chỉ/cái</t>
  </si>
  <si>
    <t>Đào tạo khác</t>
  </si>
  <si>
    <t>Tổng</t>
  </si>
  <si>
    <t>Nghệ An, ngày     tháng     năm 2021</t>
  </si>
  <si>
    <t>1. Đào tạo ngoài trường nhân với hệ số 0.65; đối với các khoa, viện tự tổ chức khoán thì nhân hệ số 0.30</t>
  </si>
  <si>
    <t>2. TT GDTX tổng hợp kinh phí của các hội đồng tổ chức thi do Tổ Đào tạo và VP. Đại diện Thanh Hóa trên mục thu của mình</t>
  </si>
  <si>
    <t>TỔNG HỢP CÁC KHOẢN THU NĂM TÀI CHÍNH 2022</t>
  </si>
  <si>
    <t>A - CÁC KHOẢN THU</t>
  </si>
  <si>
    <t>Học phí</t>
  </si>
  <si>
    <t xml:space="preserve">Học phí hệ đại học chính quy   </t>
  </si>
  <si>
    <t>Học phí hệ vừa làm vừa học</t>
  </si>
  <si>
    <t>Học phí hệ Đào tạo từ xa</t>
  </si>
  <si>
    <t xml:space="preserve">Học phí đào tạo SĐH </t>
  </si>
  <si>
    <t>Học phí đào tạo tiến sỹ</t>
  </si>
  <si>
    <t>Số lượng học sinh, sinh viên, mầm non phù hợp với số lượng ở biểu 1</t>
  </si>
  <si>
    <t>Học phí Trường THSP</t>
  </si>
  <si>
    <t>Trẻ nhà trẻ</t>
  </si>
  <si>
    <t>Trẻ mẫu giáo</t>
  </si>
  <si>
    <t>HS Tiểu học</t>
  </si>
  <si>
    <t>HS Trung học CS</t>
  </si>
  <si>
    <t>Các khoản thu khác</t>
  </si>
  <si>
    <t xml:space="preserve">Mở lớp ngắn hạn, cấp chứng chỉ, </t>
  </si>
  <si>
    <t>Biểu 8</t>
  </si>
  <si>
    <t>Biểu 7</t>
  </si>
  <si>
    <r>
      <rPr>
        <b/>
        <sz val="12"/>
        <color indexed="8"/>
        <rFont val="Times New Roman"/>
        <family val="1"/>
      </rPr>
      <t>Ghi chú:</t>
    </r>
    <r>
      <rPr>
        <sz val="12"/>
        <color indexed="8"/>
        <rFont val="Times New Roman"/>
        <family val="1"/>
      </rPr>
      <t xml:space="preserve"> Một số đơn vị dự kiến có khoản thu khác phải tổng hợp đầy đủ, như: Trường THPT chuyên, Trường THSP, Khoa Giáo dục, Khoa Kinh tế, …. . Lưu ý các đơn vị có khoản thu hộ, chi hộ như: Trường THSP thu tiền ăn bán trú của trẻ và học sinh; phòng KHTC thu tiền lệ phí thi THPT Quốc gia;....</t>
    </r>
  </si>
  <si>
    <t>1. Đào tạo ngoài trường (VLVH, ĐTTX, SĐH) đơn giá đã tính giảm trừ phần thu để lại đơn vị liên kết</t>
  </si>
  <si>
    <t>Riêng đối với đào tạo NCS tính theo niên chế năm 10 tháng và tính 100% số thu của khoa, viên đào tạo</t>
  </si>
  <si>
    <t>Kinh phí đào tạo không tính vào mục này</t>
  </si>
  <si>
    <t>Số lượt tín chỉ/HSSV dự kiến đảm nhiệm</t>
  </si>
  <si>
    <t>Biểu 4</t>
  </si>
  <si>
    <t>Biểu 5</t>
  </si>
  <si>
    <t>Biểu 6</t>
  </si>
  <si>
    <t>Biểu 10</t>
  </si>
  <si>
    <t>Biểu 11</t>
  </si>
  <si>
    <t>Biểu 12</t>
  </si>
  <si>
    <t>Đơn vị tính: đồng</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</si>
  <si>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</si>
  <si>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</si>
  <si>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</si>
  <si>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</si>
  <si>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</si>
  <si>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</si>
  <si>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</si>
  <si>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</si>
  <si>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</si>
  <si>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</si>
  <si>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</si>
  <si>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Ban quản lý đề án Ngoại ngữ </t>
  </si>
  <si>
    <t xml:space="preserve">E Tep </t>
  </si>
  <si>
    <t>Ban quản lý chương trình ETEP</t>
  </si>
  <si>
    <t xml:space="preserve">Khoa Giáo dục thể chất </t>
  </si>
  <si>
    <t xml:space="preserve">Khoa Sư phạm Ngoại ngữ </t>
  </si>
  <si>
    <t xml:space="preserve">Khoa Trung tâm GDQPAN Vinh </t>
  </si>
  <si>
    <t xml:space="preserve">Khoa Xây dựng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</si>
  <si>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</si>
  <si>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</si>
  <si>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</si>
  <si>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</si>
  <si>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</si>
  <si>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</si>
  <si>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</si>
  <si>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</si>
  <si>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</si>
  <si>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</si>
  <si>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</si>
  <si>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</si>
  <si>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</si>
  <si>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</si>
  <si>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</si>
  <si>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Trường Kinh tế </t>
  </si>
  <si>
    <t xml:space="preserve">Trường Sư Phạm </t>
  </si>
  <si>
    <t xml:space="preserve">Trường Thực hành sư phạm </t>
  </si>
  <si>
    <t xml:space="preserve">Trường Trung học Phổ thông Chuyên </t>
  </si>
  <si>
    <t xml:space="preserve">Viện Công nghệ Hóa sinh - Môi trường </t>
  </si>
  <si>
    <t xml:space="preserve">Viện Kỹ thuật - Công nghệ </t>
  </si>
  <si>
    <t xml:space="preserve">Viện Nghiên cứu và Đào tạo trực tuyến </t>
  </si>
  <si>
    <t xml:space="preserve">Viện Nông nghiệp và Tài nguyên </t>
  </si>
  <si>
    <t xml:space="preserve"> Văn phòng đại diện tỉnh Thanh Hóa </t>
  </si>
  <si>
    <t xml:space="preserve"> Nhà Xuất bản </t>
  </si>
  <si>
    <t>Tổng Cộng</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</si>
  <si>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</si>
  <si>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</si>
  <si>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Dành cho tất cả các đơn vị thống kê kế hoạch đào tạo năm 2022 của đơn vị</t>
  </si>
  <si>
    <t>Dành cho các đơn vị đào tạo, có sử dụng kinh phí liên quan</t>
  </si>
  <si>
    <t>TỔNG HỢP CÁC KHOẢN  CHI NĂM TÀI CHÍNH 2022</t>
  </si>
  <si>
    <t>Các đơn vị xem chi tiết cột hướng dẫn để thực hiện tính toán kinh phí cho từng chỉ tiêu dòng trong biểu</t>
  </si>
  <si>
    <t xml:space="preserve">  TRƯỜNG ĐẠI HỌC VINH</t>
  </si>
  <si>
    <t>Biểu số 10</t>
  </si>
  <si>
    <t>ĐVT: Nghìn đồng</t>
  </si>
  <si>
    <t>Hướng dẫn thêm</t>
  </si>
  <si>
    <t xml:space="preserve"> B - CÁC KHOẢN CHI</t>
  </si>
  <si>
    <t>Chi cho con người</t>
  </si>
  <si>
    <t>Các khoản chi lương, tiền công, phụ cấp, TN tăng thêm, phúc lợi, lễ tết và các khoản đóng góp BHXH</t>
  </si>
  <si>
    <t>Lấy số liệu của đơn vị mình trên biểu 12 mà nhà trường cung cấp</t>
  </si>
  <si>
    <t>Làm thêm giờ, trực đêm, ngày lễ, dạy thừa giờ</t>
  </si>
  <si>
    <t xml:space="preserve"> - Đơn vị đào tạo: tính giờ vượt chuẩn
 - Đơn vị hành chính: tính giờ làm thêm, trực đêm, nếu có</t>
  </si>
  <si>
    <t>Học bổng sinh viên, trợ cấp xã hội</t>
  </si>
  <si>
    <t>1.3.a</t>
  </si>
  <si>
    <t>Kinh phí dành cho học bổng, khuyến khích học tập</t>
  </si>
  <si>
    <t>Tính theo số lượng của đơn vị mình:
Số tiền = 8%  của tổng thu (học phí chính quy + cấp bù sư phạm + kinh phí chế độ miễn / giảm học phí)</t>
  </si>
  <si>
    <t>1.3.b</t>
  </si>
  <si>
    <t>Trợ cấp xã hội</t>
  </si>
  <si>
    <t>1.3.c</t>
  </si>
  <si>
    <t>Miễn giảm học phí (Mục này ngân sách cấp, không thống kê vào đây)</t>
  </si>
  <si>
    <t>Không thống kê kinh phí miễn giảm vì nó thuộc nguồn ngân sách cấp</t>
  </si>
  <si>
    <t>Tiền thưởng các loại (Cấp trường, tỉnh,bộ, cá nhân, tập thể…)</t>
  </si>
  <si>
    <t>Đ19 . QC CTNB về khen thưởng cá nhân và đơn vị</t>
  </si>
  <si>
    <t xml:space="preserve"> - Khen thưởng phong tặng danh hiệu, khen thương các hoạt động phong trào;
 - khen thưởng có bài báo đăng tạp chí quốc tế;
 - Khen thưởng sơ kết học kỳ I; tổng kết năm học; khen thưởng cho cá nhân, tập thể ngoài trường… đạt các danh hiệu năm học;
 - Khen thưởng người học, giảng viên, giáo viên có thành tích trong việc người học đạt các danh hiệu quốc gia, quốc tế, tỉnh. </t>
  </si>
  <si>
    <t>Trợ cấp khó khăn, thăm viếng, nghỉ phép</t>
  </si>
  <si>
    <t>Theo QCCTNB</t>
  </si>
  <si>
    <t xml:space="preserve"> - Dự kiến kinh phí thanh toán tiền nghỉ phép năm theo chế độ của đơn vị.</t>
  </si>
  <si>
    <t>Các khoản hỗ trợ đi học thạc sỹ, tiến sỹ, đào tạo ngắn hạn</t>
  </si>
  <si>
    <t>Hướng dẫn số 706/2018 và QCCTNB,</t>
  </si>
  <si>
    <t xml:space="preserve"> - Dự kiến kinh phí chi cho việc cử cán bộ đi học trong năm. Kinh phí tính theo điều 29, quy chế chi tiêu nội bộ:
. Nhà trường hỗ trợ học phí cho tiến sỹ, ngắn hạn, căn cứ vào số lượng cử đi học và học phí hằng năm để tính. </t>
  </si>
  <si>
    <t>Bao gồm bồi dưỡng và phụ cấp độc hại (Điều 16 QCCTNB); Chi phúc lợi (Điều 18 QCCTNB) như lễ, tết, hỗ trợ công tác hành chính</t>
  </si>
  <si>
    <t>Chi cho chuyên môn, nghiệp vụ</t>
  </si>
  <si>
    <t>2.1</t>
  </si>
  <si>
    <t>Tiền VPP, mua sắm dụng cụ văn phòng</t>
  </si>
  <si>
    <t>VPP căn cứ điều 27 QCCTNB: 200.000đ/cán bộ/ năm (không bao gồm cán bộ đi học tập trung ngoài trường) + 2.000đ/HS,SV,HV hệ tập trung; tiền phấn: 300.000đ/người/năm</t>
  </si>
  <si>
    <t>2.2</t>
  </si>
  <si>
    <t>Tiền điện thoại, sách báo tạp chí, Internet</t>
  </si>
  <si>
    <t xml:space="preserve"> - Tiền điện thoại: căn cứ điều 21 QCCTNB:</t>
  </si>
  <si>
    <t>2.3</t>
  </si>
  <si>
    <t>Tổ chức các hội nghị, hội thi NVSP, các chuyên đề</t>
  </si>
  <si>
    <t>Thực hiện lên dự toán cho từng hội nghị, ĐM chi theo Điều 33 QC CTNB</t>
  </si>
  <si>
    <t>2.4</t>
  </si>
  <si>
    <t>Công tác phí</t>
  </si>
  <si>
    <t>Công lệnh khoa</t>
  </si>
  <si>
    <t>Điều 23 QC CTNB</t>
  </si>
  <si>
    <t>2.5</t>
  </si>
  <si>
    <t>Biểu 2; QCTNB</t>
  </si>
  <si>
    <t xml:space="preserve">Sử dụng số liệu thỉnh giảng ở Biểu 2 và định mức chi tại </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</si>
  <si>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</si>
  <si>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</si>
  <si>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</si>
  <si>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</si>
  <si>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</si>
  <si>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</si>
  <si>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Điều 17 - QCCTNB</t>
  </si>
  <si>
    <t>Chi nghiên cứu khoa học bằng nguồn của nhà trường</t>
  </si>
  <si>
    <t>2.10</t>
  </si>
  <si>
    <t>Chi biên soạn và nghiệm thu chương trình, tài liệu giáo trình</t>
  </si>
  <si>
    <t>Theo QCCTNB và các văn bản NN</t>
  </si>
  <si>
    <t>2.11</t>
  </si>
  <si>
    <t>Chi các hoạt động cải tiến chương trình, đánh giá, tự đánh giá các chương trình đào tạo</t>
  </si>
  <si>
    <t>Chi khác</t>
  </si>
  <si>
    <t>Điều 28. Tiền hỗ trợ hoạt động của HS, SV, HV: dưới 500 người &lt;= 10tr, trên 500 người: 1 hv,sv,hs tăng thêm 20.000, nhưng tối đa kquá 30tr
Các khoản chi khác không nằm trong các mục trên</t>
  </si>
  <si>
    <t>Mua sắm, sửa chữa</t>
  </si>
  <si>
    <t>Điều hoà, máy tinh, máy phôto, sửa chữa các công trình</t>
  </si>
  <si>
    <t>Chi khấu hao tài sản cố định</t>
  </si>
  <si>
    <t>Khấu hao tài sản cố định: 10% tổng số thu học phí tại trường ( biểu 9)</t>
  </si>
  <si>
    <t>Tiếp khách</t>
  </si>
  <si>
    <t>Các khoản chi khác</t>
  </si>
  <si>
    <r>
      <rPr>
        <b/>
        <i/>
        <sz val="12"/>
        <color indexed="8"/>
        <rFont val="Times New Roman"/>
        <family val="1"/>
      </rPr>
      <t>Ghi chú:</t>
    </r>
    <r>
      <rPr>
        <i/>
        <sz val="12"/>
        <color indexed="8"/>
        <rFont val="Times New Roman"/>
        <family val="1"/>
      </rPr>
      <t xml:space="preserve"> Các khoản chi lương, có tính chất lương, TN tăng thêm, phúc lợi, lễ tết, đóng góp các loại BHXH, phòng KH-TC cung cấp cho các đơn vị số liệu tại biểu 12; Học bổng, trợ cấp xã hội, miễn giảm học phí tính bằng 21% thu học phí Đại học chính quy</t>
    </r>
  </si>
  <si>
    <t>KẾ HOẠCH GIẢNG DẠY ĐÀO TẠO NGẮN HẠN CẤP CHỨNG CHỈ NĂM TÀI CHÍNH 2022</t>
  </si>
  <si>
    <t>Biểu này dành cho các đơn vị có thực hiện tổ chức các lớp Bồi dưỡng chứng chỉ ngắn hạn</t>
  </si>
  <si>
    <t>QUY MÔ ĐÀO TẠO TRUNG HỌC PHỔ THÔNG NĂM 2022</t>
  </si>
  <si>
    <t>QUY MÔ ĐÀO TẠO THỰC HÀNH SƯ PHẠM NĂM 2022</t>
  </si>
  <si>
    <t xml:space="preserve"> - Các đơn vị đào tạo: Căn cứ vào kế hoạch đánh giá các chương trình đào tạo để lên dự toán phù hợp.
 - TTĐBCL sẽ thẩm định và xác định số tổng hợp cho kế hoạch năm của nhà trường.</t>
  </si>
  <si>
    <t>Các đơn vị đào tạo tính theo số lượng của đơn vị mình, đối tượng được hưởng: 
dân tộc thiểu số thuộc vùng đặc biệt khó khăn = 140.000 đồng/tháng:
Sinh viên mồi côi, sinh viên khuyết tật = 100.000 đồng/tháng.
Số tiền = Số lượng sinh viên x 140.000 x số tháng + số lượng x 100.000 x số tháng của mỗi học kỳ.
Phòng CTCT - HSSV sẽ thẩm định cuối để xác định số tổng hợp số kế hoạch năm của nhà trường.</t>
  </si>
  <si>
    <t xml:space="preserve">   TRƯỜNG ĐẠI HỌC VINH</t>
  </si>
  <si>
    <t>Biểu số 11</t>
  </si>
  <si>
    <t>TỔNG HỢP THU CHI NĂM TÀI CHÍNH 2022</t>
  </si>
  <si>
    <t xml:space="preserve">Số tiền </t>
  </si>
  <si>
    <t>CÁC KHOẢN THU CỦA ĐƠN VỊ</t>
  </si>
  <si>
    <t>Dịch vụ</t>
  </si>
  <si>
    <t>CÁC KHOẢN CHI TRỰC TIẾP TẠI ĐƠN VỊ</t>
  </si>
  <si>
    <t>Chi cho chuyên môn</t>
  </si>
  <si>
    <t>CHÊNH LỆCH THU - CHI</t>
  </si>
  <si>
    <t xml:space="preserve"> - Kinh phí dành cho chi thực hiện các đề tài NCKH tại trường gồm:
(1) Các đơn vị đào tạo lập nhu cầu kinh phí chi cho hoạt động NCKH = 8% tổng thu nhà trường theo Nghị định 99/2014 của Chính phủ; 
Đồng thời, trên cơ sở đó, có kế hoạch phù hợp để đẩy mạnh hoạt động NCKH của đơn vị, tăng cường chú trọng các nhiệm vụ KHCN có tính chuyển giao công nghệ.
(2) Kinh phí nhận được từ các đề tài ký kết ngoài trường theo số liệu tại mục II.4 biểu 9;</t>
  </si>
  <si>
    <t>BẢNG TỔNG HỢP TÀI SẢN, CÔNG CỤ, DỤNG CỤ ĐỀ NGHỊ NHÀ TRƯỜNG MUA SẮM NĂM TÀI CHÍNH 2022</t>
  </si>
  <si>
    <t>Dành cho tất cả các đơn vị</t>
  </si>
  <si>
    <t>Dành cho các đơn vị có đào tạo</t>
  </si>
  <si>
    <t>Dành cho tất cả các đơn vị có thực hiện các nhiệm vụ KHCN</t>
  </si>
  <si>
    <t>VII</t>
  </si>
  <si>
    <t>Các đề tài Nghiên cứu khoa học của người học (sinh viên, học viên)</t>
  </si>
  <si>
    <t>Các công bố khoa học khác nếu có</t>
  </si>
  <si>
    <t>Các nhiệm vụ khoa học từ các nhóm nghiên cứu</t>
  </si>
  <si>
    <t xml:space="preserve"> - Các nhiệm vụ khoa học khác nếu có</t>
  </si>
  <si>
    <t>Các hội nghị, hội thảo khoa học</t>
  </si>
  <si>
    <t>Hội thảo khoa học quốc tế</t>
  </si>
  <si>
    <t>Hội thảo khoa học trong nước</t>
  </si>
  <si>
    <t>Hội thảo khoa học cấp trường</t>
  </si>
  <si>
    <t>ĐỐI VỚI BẬC ĐẠI HỌC VÀ TRÊN ĐẠI HỌC</t>
  </si>
  <si>
    <t>Sinh viên Đại học chính quy</t>
  </si>
  <si>
    <t>Sinh viên liên thông chính quy</t>
  </si>
  <si>
    <t>.- Khóa 60 (Tuyển sinh năm 2021)</t>
  </si>
  <si>
    <t>.- Khóa 59 (tuyển sinh năm 2020)</t>
  </si>
  <si>
    <t>.- Khóa 58 (Tuyển sinh năm 2019)</t>
  </si>
  <si>
    <t>.- Khóa 57 trở về trước</t>
  </si>
  <si>
    <t>.- Khóa 61 (Tuyển sinh năm 2022)</t>
  </si>
  <si>
    <t>.- Khóa 58 về trước</t>
  </si>
  <si>
    <t>Sinh viên văn bằng 2</t>
  </si>
  <si>
    <t>.- Khóa 59 (Tuyển sinh năm 2018 trở về trước)</t>
  </si>
  <si>
    <t>.- Khóa 60 (Tuyển sinh năm 2019 trở về trước)</t>
  </si>
  <si>
    <t>Sinh viên ngành 2</t>
  </si>
  <si>
    <t>.- Khóa 58 (Tuyến sinh năm 2017 trở về trước)</t>
  </si>
  <si>
    <t>Lưu học sinh học đại học</t>
  </si>
  <si>
    <t>Thạc sĩ trong nước</t>
  </si>
  <si>
    <t>Thạc sĩ lưu học sinh</t>
  </si>
  <si>
    <t>Tiến sĩ trong nước</t>
  </si>
  <si>
    <t>Tiến sĩ Lưu học sinh</t>
  </si>
  <si>
    <t>(Khối ngành I): Khoa học Giáo dục và đào tạo giáo viên;</t>
  </si>
  <si>
    <t xml:space="preserve">Số lượt TC theo KH đào tạo/ Số học sinh
(số liệu cột này là cột …. Biểu 2a +2b hoặc </t>
  </si>
  <si>
    <t>Hệ số lớp đông / lớp ít nếu có</t>
  </si>
  <si>
    <t>Số lượng sinh viên</t>
  </si>
  <si>
    <t>(18)</t>
  </si>
  <si>
    <t xml:space="preserve">
(Khối ngành VII)  Khối ngành nhân văn, khoa học xã hội và hành vi, báo chí và thông tin, dịch vụ xã hội, du lịch, khách sạn thể dục thể thao, dịch vụ vận tải, môi trường và bảo vệ môi trường.</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</si>
  <si>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</si>
  <si>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</si>
  <si>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</si>
  <si>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</si>
  <si>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Đào tạo Cao học</t>
  </si>
  <si>
    <t>Hướng dẫn chuyên đề …...............................</t>
  </si>
  <si>
    <t>CỘNG HÒA XÃ HỘI CHỦ NGHĨA VIỆT NAM</t>
  </si>
  <si>
    <t>Độc lập - Tự do - Hạnh phúc</t>
  </si>
  <si>
    <t>KẾ HOẠCH ĐÀO TẠO, BỒI DƯỠNG, PHÁT TRIỂN ĐỘI NGŨ NĂM 2022</t>
  </si>
  <si>
    <t>Đơn vị cấp 3 
và tương đương
(Khoa/Bộ môn/Tổ hành chính)</t>
  </si>
  <si>
    <t>Đề xuất số lượng viên chức tuyển mới</t>
  </si>
  <si>
    <t>Trình độ</t>
  </si>
  <si>
    <t>Ngành/
chuyên ngành đào tạo</t>
  </si>
  <si>
    <t>Bậc đào tạo</t>
  </si>
  <si>
    <t>Danh sách viên chức nghỉ hưu, kéo dài thời gian công tác</t>
  </si>
  <si>
    <t>Năm sinh</t>
  </si>
  <si>
    <t>Dân tộc</t>
  </si>
  <si>
    <t>Khoa/Bộ môn/Tổ</t>
  </si>
  <si>
    <t>Chuyên ngành
 đào tạo</t>
  </si>
  <si>
    <t>Thời gian nghỉ hưu /kéo dài</t>
  </si>
  <si>
    <t>Nam</t>
  </si>
  <si>
    <t>Nữ</t>
  </si>
  <si>
    <t>Nguyễn Văn</t>
  </si>
  <si>
    <t>Kéo dài</t>
  </si>
  <si>
    <t>Danh sách viên chức nghỉ phép, nghỉ không lương, thai sản</t>
  </si>
  <si>
    <t>Thời gian nghỉ</t>
  </si>
  <si>
    <t>Thai sản</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</si>
  <si>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</si>
  <si>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</si>
  <si>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</si>
  <si>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</si>
  <si>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</si>
  <si>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</si>
  <si>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</si>
  <si>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</si>
  <si>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</si>
  <si>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TS</t>
  </si>
  <si>
    <t>ThS</t>
  </si>
  <si>
    <t>Hà Nội</t>
  </si>
  <si>
    <t>Đề án 89</t>
  </si>
  <si>
    <t>C</t>
  </si>
  <si>
    <t>Lý luận chính trị</t>
  </si>
  <si>
    <t>Cao cấp</t>
  </si>
  <si>
    <t>Trung cấp</t>
  </si>
  <si>
    <t>Nghệ An</t>
  </si>
  <si>
    <t>Bồi dưỡng</t>
  </si>
  <si>
    <t>Nội dung
 bồi dưỡng</t>
  </si>
  <si>
    <t>Thời lượng chương trình</t>
  </si>
  <si>
    <t>Nơi bồi dưỡng</t>
  </si>
  <si>
    <t xml:space="preserve">
Thời gian
</t>
  </si>
  <si>
    <t>Kinh phí
 dự trù</t>
  </si>
  <si>
    <t>Tại
ĐHV</t>
  </si>
  <si>
    <t>Kinh</t>
  </si>
  <si>
    <t>Quốc phòng an ninh (Đối tượng 2/3/4)</t>
  </si>
  <si>
    <t>Hội nghị, hội thảo, tập huấn, thực tập sinh, hợp tác khoa học…</t>
  </si>
  <si>
    <t>Tiêu đề/Nội dung</t>
  </si>
  <si>
    <t>Thời lượng</t>
  </si>
  <si>
    <t>Nơi tổ chức</t>
  </si>
  <si>
    <t>Hội thảo khoa học …</t>
  </si>
  <si>
    <t>Bổ nhiệm, thay đổi chức danh nghề nghiệp</t>
  </si>
  <si>
    <t>Ngành/chuyên ngành</t>
  </si>
  <si>
    <t>Chức danh hiện tại</t>
  </si>
  <si>
    <t>Chức danh đề nghị 
bổ nhiệm/thay đổi</t>
  </si>
  <si>
    <t xml:space="preserve">Năm </t>
  </si>
  <si>
    <t>Giảng viên chính</t>
  </si>
  <si>
    <t xml:space="preserve"> </t>
  </si>
  <si>
    <t>Học phí đào tạo Lưu học sinh</t>
  </si>
  <si>
    <t>6.1</t>
  </si>
  <si>
    <t>6.2</t>
  </si>
  <si>
    <t>Lưu học sinh tiến sỹ</t>
  </si>
  <si>
    <t>Lưu học sinh thạc sỹ</t>
  </si>
  <si>
    <t>Học phí trường THPT chuyên</t>
  </si>
  <si>
    <t>Học phí bậc THPT</t>
  </si>
  <si>
    <t>Học phí trường THPT Chất lượng cao</t>
  </si>
  <si>
    <t>Số lượng tương ứng ở biểu 1</t>
  </si>
  <si>
    <t>Biểu 9b Tổng thu của đơn vị hành chính</t>
  </si>
  <si>
    <t>Dành cho tất cả các đơn vị hành chính</t>
  </si>
  <si>
    <t>Các khoản thu khác (nếu có của đơn vị)</t>
  </si>
  <si>
    <t>Tiền thu ký túc xá sinh viên Việt</t>
  </si>
  <si>
    <t>Số lượng học sinh lấy từ biểu 1</t>
  </si>
  <si>
    <t>Lưu học sinh Đại học, học tiếng Việt</t>
  </si>
  <si>
    <t>…...................................</t>
  </si>
  <si>
    <t>Tiền thu ký túc xá Lưu học sinh Lào</t>
  </si>
  <si>
    <t>Thu từ các khoản khác</t>
  </si>
  <si>
    <t>Phí quản lý đề tài</t>
  </si>
  <si>
    <t>Thu lệ phí tuyển sinh</t>
  </si>
  <si>
    <t>Thu …....................</t>
  </si>
  <si>
    <t>TỔNG HỢP CÁC KHOẢN THU NĂM TÀI CHÍNH 2022 DÀNH CHO CÁC ĐƠN VỊ HÀNH CHÍNH</t>
  </si>
  <si>
    <t>TỔNG HỢP CÁC KHOẢN THU NĂM TÀI CHÍNH 2022 DÀNH CHO ĐƠN VỊ ĐÀO TẠO</t>
  </si>
  <si>
    <t>Các khoản thu hộ, chi hộ của các đơn vị 
(thu tiền vệ sinh, an ninh, bảo hiểm y tế, tiền phù hiệu, tiền hoạt động phong trào, ….............)</t>
  </si>
  <si>
    <t>Biểu số 9b</t>
  </si>
  <si>
    <t>Tiền phục vụ bán trú</t>
  </si>
  <si>
    <t>Biểu số 9a</t>
  </si>
  <si>
    <t>Khoa viện xây dựng, phòng KH&amp;HTQT thẩm định</t>
  </si>
  <si>
    <t>Thu kinh phí đền bù đào tạo (Từ CB, từ người học)</t>
  </si>
  <si>
    <t>Thu tiền điện, nước từ các KTX</t>
  </si>
  <si>
    <t>NÂNG CHUẨN LIÊN THÔNG HỆ SƯ PHẠM</t>
  </si>
  <si>
    <t>Tên đơn vị cấp 3</t>
  </si>
  <si>
    <t>Mục đích sử dụng</t>
  </si>
  <si>
    <t>KẾ HOẠCH ĐĂNG KÝ NHIỆM VỤ NGHIÊN CỨU KHOA HỌC NĂM TÀI CHÍNH 2022</t>
  </si>
  <si>
    <t>6.3</t>
  </si>
  <si>
    <t>Các nhiệm vụ khoa học từ các học phần dạy học dự án
(Mỗi học phần chọn 1 dự án tốt nhất)</t>
  </si>
  <si>
    <t>Biên soạn bài giảng Elearning
 (cấp độ 2 trở lên, tạm tính: 8 tr / tín chỉ đối với cấp độ 2; 10 tr tín chỉ đối với cấp độ 3)</t>
  </si>
  <si>
    <t>cập nhật lại đơn giá</t>
  </si>
  <si>
    <t>XIII</t>
  </si>
  <si>
    <t>Bồi dưỡng chức danh nghề nghiệp</t>
  </si>
  <si>
    <t>Bồi dưỡng nghiệp vụ sư phạm</t>
  </si>
  <si>
    <t>Đào tạo và bồi dưỡng khác</t>
  </si>
  <si>
    <t>Bồi dưỡng cán bộ quản lý giáo dục</t>
  </si>
  <si>
    <t>Bồi dưỡng và cấp chứng chỉ ngoại ngữ</t>
  </si>
  <si>
    <t>Bồi dưỡng và cấp chứng chỉ tin học</t>
  </si>
  <si>
    <t>yêu cầu trích xuất dến đon vị cấp ba đối với các đơn vị mới thành lập</t>
  </si>
  <si>
    <t>Sinh viên tuyển mới năm 2022 theo khối ngành
(Tính dự kiến tổng số tuyển mới trong năm 2022 trừ các ngành sư phạm)</t>
  </si>
  <si>
    <t>định dạng trang / tiêu đề / repeat tiêu đề trên các trang sau</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</si>
  <si>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</si>
  <si>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</si>
  <si>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</si>
  <si>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KẾ HOẠCH ĐÀO TẠO. GIẢNG DẠY CỦA ĐƠN VỊ ĐÀO TẠO CÁC BẬC HỌC THPT VÀ THSP NĂM TÀI CHÍNH 2022</t>
  </si>
  <si>
    <t>(Bảng này dùng để thống kê chi tiết giảng dạy học kỳ II năm học 2021-2022 và học kỳ I năm học 2022-2023)</t>
  </si>
  <si>
    <t>Biểu 2a DH và trên ĐH</t>
  </si>
  <si>
    <t>Biểu 2b THPT và THSP</t>
  </si>
  <si>
    <t>KẾ HOẠCH ĐÀO TẠO - GIẢNG DẠY CỦA ĐƠN VỊ NĂM 2022</t>
  </si>
  <si>
    <t>Học kỳ II năm học 2021-2022, học kỳ hè, và học kỳ I năm học 2022-2023</t>
  </si>
  <si>
    <t>Học kỳ II năm học 2021-2022, và học kỳ I năm học 2022-2023</t>
  </si>
  <si>
    <t>số liệu dòng này của mỗi đơn vị nhập vào biểu 3b</t>
  </si>
  <si>
    <t>Biểu 3a</t>
  </si>
  <si>
    <t>Biểu 3b</t>
  </si>
  <si>
    <t>TỔNG HỢP SỐ GIỜ QUY CHUẨN ĐƠN VỊ PHẢI ĐẢM NHẬN GIẢNG DẠY NĂM TÀI CHÍNH 2022 theo đơn vị</t>
  </si>
  <si>
    <t>TỔNG HỢP SỐ GIỜ QUY CHUẨN ĐƠN VỊ PHẢI ĐẢM NHẬN GIẢNG DẠY NĂM TÀI CHÍNH 2022 toàn trường</t>
  </si>
  <si>
    <t>Số liệu tổng của biểu 3a mỗi đơn vị nhảy vào biểu 3b theo tên đơn vị</t>
  </si>
  <si>
    <t xml:space="preserve">Trường Khoa học Xã hội và Nhân văn </t>
  </si>
  <si>
    <t>Địa chỉ đặt thiết bị / 
Địa chỉ sử dụng thiết bị</t>
  </si>
  <si>
    <t>Các đề tài cấp trường 
Các đơn vị đề xuất trên cơ sở thực tiễn</t>
  </si>
  <si>
    <t>Các hoạt động KHCN khác</t>
  </si>
  <si>
    <t>Đăng ký sở hữu trí tuệ</t>
  </si>
  <si>
    <t>Hoạt động khoa học công nghệ khác</t>
  </si>
  <si>
    <t>…...............................</t>
  </si>
  <si>
    <t>Tên Nhóm nghiên cứu
(Các nhiệm vụ khoa học từ nhóm nghiên cứu mạnh cho các hoạt động khoa học có tính đột phá, có tính chuyển giao)</t>
  </si>
  <si>
    <t>Số lượt TC theo KH đào tạo (số liệu cột này là cột (8) Biểu 2a khối ngành III</t>
  </si>
  <si>
    <t>Đơn giá khối ngành III</t>
  </si>
  <si>
    <t>Đơn giá khối ngành I</t>
  </si>
  <si>
    <t>Số lượt TC theo KH đào tạo (số liệu cột này là cột (8) Biểu 2a khối ngành 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</si>
  <si>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</si>
  <si>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</si>
  <si>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</si>
  <si>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</si>
  <si>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</si>
  <si>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</si>
  <si>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</si>
  <si>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</si>
  <si>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Học kỳ I năm học 2022 - 2023</t>
  </si>
  <si>
    <t>Thành tiền học kỳ II năm học 2021-2022 và học kỳ hè.</t>
  </si>
  <si>
    <t>Học kỳ II năm học 2021-2022 và học kỳ hè</t>
  </si>
  <si>
    <t>Số tháng</t>
  </si>
  <si>
    <t>Học kỳ I năm học 2022-2023</t>
  </si>
  <si>
    <t>(3)=(4) x (5)x(6)</t>
  </si>
  <si>
    <t>(7)=(8)x(9)x(10)</t>
  </si>
  <si>
    <t>Tổng cộng</t>
  </si>
  <si>
    <t>(11)=(3)+(7)</t>
  </si>
  <si>
    <t>TỔNG CỘNG</t>
  </si>
  <si>
    <t>Biểu 9a Tổng thu của đơn vị đào tạo đại học và sau đại học theo khối ngành</t>
  </si>
  <si>
    <t>Biểu 9b Tổng thu của các đơn vị đào tạo theo niên chế / học phí có định mức theo tháng</t>
  </si>
  <si>
    <t>Dành cho tất cả các đơn vị đào tạo theo niên chế có định mức học phí theo đơn giá học kỳ / tháng</t>
  </si>
  <si>
    <t>(19)</t>
  </si>
  <si>
    <t>(20)</t>
  </si>
  <si>
    <t>(21)</t>
  </si>
  <si>
    <t>(22)</t>
  </si>
  <si>
    <t>(23)</t>
  </si>
  <si>
    <t>(24)</t>
  </si>
  <si>
    <t>(25)</t>
  </si>
  <si>
    <t>(26)</t>
  </si>
  <si>
    <t>(27)</t>
  </si>
  <si>
    <t>(28)</t>
  </si>
  <si>
    <t>(29)=(3)+(16)</t>
  </si>
  <si>
    <t>(30)</t>
  </si>
  <si>
    <t>(3) = (4)x(5) + (6)*(7) + (8)*(9) + (10)*(11) + (12)*(13) + (14)x(15)</t>
  </si>
  <si>
    <t xml:space="preserve">Thành tiền học kỳ I năm học 2022-2023
----------
</t>
  </si>
  <si>
    <t>(16) = (17)x(18) + (19)*(20) + (21)*(22) + (23)*(24) + (25)*(26) + (27)x(28)</t>
  </si>
  <si>
    <t>TỔNG HỢP CÁC KHOẢN THU NĂM TÀI CHÍNH 2022 DÀNH CHO ĐƠN VỊ ĐÀO TẠO THEO NIÊN CHẾ HOẶC HỌC PHÍ TÍNH THEO THÁNG</t>
  </si>
  <si>
    <t>3.1</t>
  </si>
  <si>
    <t>3.2</t>
  </si>
  <si>
    <t>3.3</t>
  </si>
  <si>
    <t>3.4</t>
  </si>
  <si>
    <t>6.4</t>
  </si>
  <si>
    <t>Tiền lệ phí thi tuyển sinh</t>
  </si>
  <si>
    <t>6.5</t>
  </si>
  <si>
    <t>…............................</t>
  </si>
  <si>
    <t>Các khoản thu hộ: (Tiền ăn, …..)</t>
  </si>
  <si>
    <t>CÁC ĐƠN VỊ ĐÀO TẠO</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</si>
  <si>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</si>
  <si>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</si>
  <si>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</si>
  <si>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</si>
  <si>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</si>
  <si>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</si>
  <si>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</si>
  <si>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</si>
  <si>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</si>
  <si>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</si>
  <si>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</si>
  <si>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</si>
  <si>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</si>
  <si>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</si>
  <si>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</si>
  <si>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</si>
  <si>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</si>
  <si>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</si>
  <si>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</si>
  <si>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</si>
  <si>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</si>
  <si>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</si>
  <si>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</si>
  <si>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</si>
  <si>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</si>
  <si>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</si>
  <si>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</si>
  <si>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</si>
  <si>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</si>
  <si>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</si>
  <si>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</si>
  <si>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</si>
  <si>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</si>
  <si>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(8)=(3)x(4)x(7)</t>
  </si>
  <si>
    <t>Số tiết giảng dạy quy chuẩn
(Công thức 9=3x5x6x16,5 đối với tín chỉ lý thuyết và 3x5x6x15 đối với tín chỉ thực hành)</t>
  </si>
  <si>
    <t>.- Khóa 63</t>
  </si>
  <si>
    <t>Khoa Luật Kinh tế</t>
  </si>
  <si>
    <t>Học phần Luật Dân sự</t>
  </si>
  <si>
    <t>Học phần Luật Tố tụng Dân sự</t>
  </si>
  <si>
    <t>Học phần Kỹ năng tư vấn và giải quyết vụ việc trong lĩnh vực HN&amp;GĐ</t>
  </si>
  <si>
    <t>Học phần Kỹ năng tư vấn hợp đồng dân sự</t>
  </si>
  <si>
    <t>a.7</t>
  </si>
  <si>
    <t>a.8</t>
  </si>
  <si>
    <t>Học phần Luật Hôn nhân và Gia đình</t>
  </si>
  <si>
    <t>a.9</t>
  </si>
  <si>
    <t>a.10</t>
  </si>
  <si>
    <t>Học phần phương pháp NCKH chuyên ngành Luật</t>
  </si>
  <si>
    <t>a.11</t>
  </si>
  <si>
    <t>Học phần Luật Thương mại</t>
  </si>
  <si>
    <t>a.12</t>
  </si>
  <si>
    <t>a.13</t>
  </si>
  <si>
    <t>Học phần Kỹ năng tư vấn pháp luật hợp đồng thương mại</t>
  </si>
  <si>
    <t>a.14</t>
  </si>
  <si>
    <t>Học phần Kỹ năng thực hành chuyên ngành Luật kinh tế</t>
  </si>
  <si>
    <t>a.15</t>
  </si>
  <si>
    <t>Học phần Luật kinh tế</t>
  </si>
  <si>
    <t>a.16</t>
  </si>
  <si>
    <t>Học phần Luật quốc tế</t>
  </si>
  <si>
    <t>a.17</t>
  </si>
  <si>
    <t>Học phần Luật Thương mại quốc tế</t>
  </si>
  <si>
    <t>a.18</t>
  </si>
  <si>
    <t>Luật Đất đai</t>
  </si>
  <si>
    <t>a.19</t>
  </si>
  <si>
    <t>a.20</t>
  </si>
  <si>
    <t>a.21</t>
  </si>
  <si>
    <t>Kỹ năng tư vấn thủ tục tư vấn thành lập và quản trị doanh nghiệp</t>
  </si>
  <si>
    <t>a.22</t>
  </si>
  <si>
    <t>a.23</t>
  </si>
  <si>
    <t>a.24</t>
  </si>
  <si>
    <t>Kỹ  năng tư vấn pháp luật đất đai</t>
  </si>
  <si>
    <t>a.25</t>
  </si>
  <si>
    <t>Kỹ năng tư vấn pháp luật lao động</t>
  </si>
  <si>
    <t>a.26</t>
  </si>
  <si>
    <t>Luật Tài chính</t>
  </si>
  <si>
    <t>a.27</t>
  </si>
  <si>
    <t>Luật lao động</t>
  </si>
  <si>
    <t>a.28</t>
  </si>
  <si>
    <t>a.30</t>
  </si>
  <si>
    <t>Nhập môn ngành Chính trị - Luật</t>
  </si>
  <si>
    <t>Học phần pháp luật về trách nhiệm bồi thường của Nhà nước</t>
  </si>
  <si>
    <t>Phương pháp nghiên cứu khoa học và kỹ năng nghiên cứu luật học</t>
  </si>
  <si>
    <t>Vai trò của  nhà nước trong nền kinh tế thị trường</t>
  </si>
  <si>
    <t>Học phần Luật  HN&amp;GĐ</t>
  </si>
  <si>
    <t>Học phần pháp luật về  hợp đồng</t>
  </si>
  <si>
    <t>Học phần Luật sở hữu trí tuệ</t>
  </si>
  <si>
    <t>Học phần Luật Thi hành án dân sự</t>
  </si>
  <si>
    <t>Học phần Luật đất đai</t>
  </si>
  <si>
    <t>Học phần Luật tài chính</t>
  </si>
  <si>
    <t>Học phần Luật Quốc tế</t>
  </si>
  <si>
    <t>Học phần Luật lao dộng</t>
  </si>
  <si>
    <t>Học phần Kỹ năng soạn thảo hợp đồng thương mại</t>
  </si>
  <si>
    <t>Học phần Luật đất đai và môi trường</t>
  </si>
  <si>
    <t>Học phần Luật hôn nhân và gia đình</t>
  </si>
  <si>
    <t>Học phần Luật Lao động</t>
  </si>
  <si>
    <t>Học phần Luật Đất đai và Môi trường</t>
  </si>
  <si>
    <t>Học phần Luật Tài chính</t>
  </si>
  <si>
    <t>Kỹ năng soạn thảo hợp đồng thương mại</t>
  </si>
  <si>
    <t>Tổng số cán bộ của đơn vị: 69, trong đó:</t>
  </si>
  <si>
    <t>Cán bộ hành chính: 05</t>
  </si>
  <si>
    <t>Cán bộ giảng dạy: 64, gồm:</t>
  </si>
  <si>
    <t>TRƯỜNG KHOA HỌC XÃ HỘI &amp; NHÂN VĂN</t>
  </si>
  <si>
    <t xml:space="preserve">Chính trị học </t>
  </si>
  <si>
    <t>Đào tạo chính quy (gồm cả trong và ngoài Trường)</t>
  </si>
  <si>
    <t>Chính trị với quản lý xã hội</t>
  </si>
  <si>
    <t>Hành chính học</t>
  </si>
  <si>
    <t>Khoa học quản lý</t>
  </si>
  <si>
    <t>Chính sách công</t>
  </si>
  <si>
    <t>Tổ BM hướng dẫn thực tập cuối khóa 59 Chính trị học</t>
  </si>
  <si>
    <t>Những nguyên lý cơ bản của triết học Mác - Lênin trong thời đại ngày nay</t>
  </si>
  <si>
    <t>Phương pháp luận nghiên cứu khoa học chuyên ngành</t>
  </si>
  <si>
    <t>Quan hệ giữa đổi mới kinh tế và đổi mới chính trị ở Việt Nam</t>
  </si>
  <si>
    <t>Chính trị gia tiêu biểu thế kỷ XX, đầu thế kỷ XXI</t>
  </si>
  <si>
    <t>Thời đại ngày nay và định hướng XHCN ở VN</t>
  </si>
  <si>
    <t>Hệ thống chính trị đương đại</t>
  </si>
  <si>
    <t>Quan hệ quốc tế tại Đông Á</t>
  </si>
  <si>
    <t>Lịch sử chính trị Việt nam</t>
  </si>
  <si>
    <t xml:space="preserve">Văn hóa lãnh đạo quản lý </t>
  </si>
  <si>
    <t>Khoa học lãnh đạo quản lý</t>
  </si>
  <si>
    <t xml:space="preserve">Những quan điểm chính trị trong tác phẩm C.Mác, Ph.Awngghen, V.I. Lênin </t>
  </si>
  <si>
    <t>Đảng cộng sản trong tiến trình cách mạng</t>
  </si>
  <si>
    <t>Đối ngoại Việt Nam</t>
  </si>
  <si>
    <t>Những nguyên lý cơ bản của kinh tế chính trị Mác - Lênin trong thời đại ngày nay</t>
  </si>
  <si>
    <t>Những nguyên lý cơ bản của CNXH khoa học trong TĐNN</t>
  </si>
  <si>
    <t>Nhà nước pháp quyền và xây dựng nhà nước pháp quyền ở Việt Nam</t>
  </si>
  <si>
    <t>Chuyên đề 1</t>
  </si>
  <si>
    <t>Chuyên đề 2</t>
  </si>
  <si>
    <t>Chuyên đề 3</t>
  </si>
  <si>
    <t xml:space="preserve">B. </t>
  </si>
  <si>
    <t xml:space="preserve">Quản lý nhà nước </t>
  </si>
  <si>
    <t>Đào tạo chính quy (gồm cả trong, ngoài Trường)</t>
  </si>
  <si>
    <t>Tổ chức chính quyền cơ sở</t>
  </si>
  <si>
    <t>Đại cương về Quản lý nhà nước</t>
  </si>
  <si>
    <t>Tác phẩm Mác - Lênin và Hồ Chí Minh về nhà nước</t>
  </si>
  <si>
    <t>Lịch sử chính quyền nhà nước Việt Nam</t>
  </si>
  <si>
    <t>Quản lý nhà nước về kinh tế</t>
  </si>
  <si>
    <t>Văn hóa công sở và đạo đức công vụ</t>
  </si>
  <si>
    <t>Quản lý nhà nước về ngành và lãnh thổ</t>
  </si>
  <si>
    <t>Quản lý nhà nước về dân tộc và tôn giáo</t>
  </si>
  <si>
    <t>Kinh tế học đại cương</t>
  </si>
  <si>
    <t>Luật Hành chính</t>
  </si>
  <si>
    <t>Phương pháp nghiên cứu khoa học ngành QLNN</t>
  </si>
  <si>
    <t>Tổ BM hướng dẫn thực tập cuối khóa 59 Quản lý nhà nước</t>
  </si>
  <si>
    <t>Hội nhập kinh tế quốc tế của Việt Nam</t>
  </si>
  <si>
    <t xml:space="preserve">Quản lý nhà nước về báo chí và thông tin đối ngoại </t>
  </si>
  <si>
    <t xml:space="preserve">Quản lý nhà nước về địa giới hành chính </t>
  </si>
  <si>
    <t>Thủ tục hành chính</t>
  </si>
  <si>
    <t>Xử lý tình huống trong quản lý nhà nước</t>
  </si>
  <si>
    <t>Báo chí</t>
  </si>
  <si>
    <t>Cơ sở lý luận báo chí - truyền thông</t>
  </si>
  <si>
    <t>Tổ chức hoạt động của cơ quan báo chí</t>
  </si>
  <si>
    <t>Kĩ thuật nhiếp ảnh và ảnh báo chí</t>
  </si>
  <si>
    <t>Lịch sử báo chí - truyền thông</t>
  </si>
  <si>
    <t>Luật báo chí, xuất bản và truyền thông</t>
  </si>
  <si>
    <t>Bình luận và kí báo chí</t>
  </si>
  <si>
    <t>Phỏng vấn và phóng sự</t>
  </si>
  <si>
    <t>Tin và tường thuật</t>
  </si>
  <si>
    <t>Thiết kế và trình bày báo in</t>
  </si>
  <si>
    <t>Thông tin đối ngoại và thông tin quốc tế</t>
  </si>
  <si>
    <t>Nhập môn nhóm ngành Xã hội và Nhân văn</t>
  </si>
  <si>
    <t>Ngôn ngữ báo chí - truyền thông</t>
  </si>
  <si>
    <t>PR, marketing đại cương</t>
  </si>
  <si>
    <t>Quảng cáo, phát hành và kinh doanh báo chí</t>
  </si>
  <si>
    <t>Tác phẩm và thể loại báo chí</t>
  </si>
  <si>
    <t>Kĩ thuật viết cho báo in</t>
  </si>
  <si>
    <t>Sản xuất chương trình phát thanh</t>
  </si>
  <si>
    <t>Sản xuất chương trình truyền hình</t>
  </si>
  <si>
    <t>Tác phẩm báo chí đa phương tiện</t>
  </si>
  <si>
    <t>Tổ BM hướng dẫn thực tập cuối khóa 59 Báo chí</t>
  </si>
  <si>
    <t>Trường KHXH&amp;NV</t>
  </si>
  <si>
    <t>Khoa Luật học</t>
  </si>
  <si>
    <t>Khoa Luật kinh tế</t>
  </si>
  <si>
    <t>Khoa Chính trị và Báo chí</t>
  </si>
  <si>
    <t>Khoa Công tác xã hội và Du lịch</t>
  </si>
  <si>
    <t>Luật Hình sự</t>
  </si>
  <si>
    <t>Luật Tố tụng hình sự</t>
  </si>
  <si>
    <t>Pháp luật tố tụng dân sự và hình sự</t>
  </si>
  <si>
    <t>Giáo dục pháp luật thực hành (CLE) (K60)</t>
  </si>
  <si>
    <t>Giáo dục pháp luật thực hành (CLE) (K62)</t>
  </si>
  <si>
    <t>Nhập môn ngành Chính trị - Luật (K63)</t>
  </si>
  <si>
    <t>Lý luận về Nhà nước và pháp luật</t>
  </si>
  <si>
    <t>Luật hành chính</t>
  </si>
  <si>
    <t xml:space="preserve">Đăng ký và quản lý hộ tich </t>
  </si>
  <si>
    <t>Kỹ năng công chứng và chứng thực</t>
  </si>
  <si>
    <t>Kỹ năng thực hành chuyên ngành Luật</t>
  </si>
  <si>
    <t>Pháp luật đại cương</t>
  </si>
  <si>
    <t>Luật Hiến pháp</t>
  </si>
  <si>
    <t>Lịch sử nhà nước và pháp luật VN</t>
  </si>
  <si>
    <t>Xây dựng văn bản pháp luật</t>
  </si>
  <si>
    <t>Xây dựng văn bản pháp luật (VB 2 CQ)</t>
  </si>
  <si>
    <t>Luật hành chính (VB2 CQ)</t>
  </si>
  <si>
    <t>Kỹ năng thực hành chuyên ngành Luật (VB2 CQ)</t>
  </si>
  <si>
    <t>Luật tố tụng hình sự (VB2 CQ)</t>
  </si>
  <si>
    <t>Giáo dục pháp luật thực hành (CLE) (VB2CQ)</t>
  </si>
  <si>
    <t>Chuyên đề Quyền con người trong xã hội hiện đại</t>
  </si>
  <si>
    <t>Chuyên đề Cải cách tư pháp, lí luận và thực tiễn ở Việt Nam</t>
  </si>
  <si>
    <t xml:space="preserve">Chuyên đề Nhận thức mới về NN và PL </t>
  </si>
  <si>
    <t>Chuyên đề Pháp luật và sự phát triển bền vững</t>
  </si>
  <si>
    <t>Chuyên đề Nhà nước pháp quyền và XH công dân</t>
  </si>
  <si>
    <t>Chuyên đề Tổ chức chính quyền địa phương</t>
  </si>
  <si>
    <t>Chuyên đề Cải cách hành chính nhà nước</t>
  </si>
  <si>
    <t xml:space="preserve">Chuyên đề Xây dựng và hoàn thiện pháp luật ở VN hiện nay
</t>
  </si>
  <si>
    <t>Chuyên đề Các học thuyệt về nhà nước và PL</t>
  </si>
  <si>
    <t>Chuyên đề Các mô hình nhà nước đương đại</t>
  </si>
  <si>
    <t>Luật hình sự</t>
  </si>
  <si>
    <t>Luật tố tụng hình sự</t>
  </si>
  <si>
    <t>Thi hành án hình sự</t>
  </si>
  <si>
    <t>Tội phạm học</t>
  </si>
  <si>
    <t>Quyền con người trong pháp luật hình sự</t>
  </si>
  <si>
    <t>Lý luận về nhà nước và pháp luật</t>
  </si>
  <si>
    <t>Xây dựng Nhà nước pháp quyền</t>
  </si>
  <si>
    <t>Luật hiến pháp</t>
  </si>
  <si>
    <t>Luật hành chính và tố tụng Hành chính</t>
  </si>
  <si>
    <t>Kỹ thuật xây dựng văn bản pháp luật</t>
  </si>
  <si>
    <t>Lịch sử nhà nước và pháp luật Việt Nam</t>
  </si>
  <si>
    <t>Kỹ năng soạn thảo văn bản hành chính thông dụng</t>
  </si>
  <si>
    <t>KHOA CHÍNH TRỊ VÀ BÁO CHÍ</t>
  </si>
  <si>
    <t>Khoa Du lịch và Công tác xã hội</t>
  </si>
  <si>
    <t>Các hoạt động phục vụ du lịch</t>
  </si>
  <si>
    <t>Du lịch trọn gói, mở và hướng dẫn đoàn</t>
  </si>
  <si>
    <t>Tâm lý du khách và kỹ năng giao tiếp trong lĩnh vực lữ hành</t>
  </si>
  <si>
    <t>Lữ hành nội địa và quốc tế</t>
  </si>
  <si>
    <t>Maketing trong lĩnh vực lữ hành</t>
  </si>
  <si>
    <t>Nghiệp vụ quản trị kinh doanh lữ hành</t>
  </si>
  <si>
    <t>Quy hoạch - đầu tư và tuyến điểm du lịch</t>
  </si>
  <si>
    <t>Kĩ năng giao tiếp trong lĩnh vực khách sạn</t>
  </si>
  <si>
    <t>Tổ chức khách sạn</t>
  </si>
  <si>
    <t>Maketing trong lĩnh vực khách sạn</t>
  </si>
  <si>
    <t>Nghiệp vụ lễ tân khách sạn</t>
  </si>
  <si>
    <t>Nghiệp vụ quản trị kinh doanh khách sạn</t>
  </si>
  <si>
    <t>Quy hoạch - đầu tư và khai thác thị trường trong lĩnh vực khách sạn</t>
  </si>
  <si>
    <t xml:space="preserve"> Phương pháp nghiên cứu du lịch học</t>
  </si>
  <si>
    <t>Tổng quan di sản tiêu biểu thế giới</t>
  </si>
  <si>
    <t>Tự chọn</t>
  </si>
  <si>
    <t>Di tích lịch sử - văn hóa và danh lam thắng cảnh Việt Nam</t>
  </si>
  <si>
    <t>Tôn giáo học đại cương</t>
  </si>
  <si>
    <t>Văn hóa dân gian Việt Nam</t>
  </si>
  <si>
    <t>Văn hóa du lịch</t>
  </si>
  <si>
    <t>Khái lược văn hóa và du lịch Đông Nam Á</t>
  </si>
  <si>
    <t>Phương pháp nghiên cứu du lịch học</t>
  </si>
  <si>
    <t>Chiến lược phát triển du lịch Việt Nam</t>
  </si>
  <si>
    <t>a.29</t>
  </si>
  <si>
    <t>a.31</t>
  </si>
  <si>
    <t>Xã hội học đại cương</t>
  </si>
  <si>
    <t>Phân vùng du lịch Việt Nam (Đồ án)</t>
  </si>
  <si>
    <t>Tự chọn 1</t>
  </si>
  <si>
    <t>Di tích lịch sử - văn hóa và danh lam thắng cảnh Việt Nam (Đồ án)</t>
  </si>
  <si>
    <t>Công tác xã hội trong trường học</t>
  </si>
  <si>
    <t>Công tác xã hội với người khuyết tật</t>
  </si>
  <si>
    <t>Phát triển cộng đồng</t>
  </si>
  <si>
    <t>Quản trị ngành Công tác xã hội</t>
  </si>
  <si>
    <t>Chuyên ngành - Chuyên đề 1</t>
  </si>
  <si>
    <t>Chuyên ngành - Chuyên đề 2</t>
  </si>
  <si>
    <t>Chuyên ngành - Chuyên đề 3</t>
  </si>
  <si>
    <t>An sinh xã hội</t>
  </si>
  <si>
    <t>Chính sách xã hội</t>
  </si>
  <si>
    <t>Hành vi con người và môi trường xã hội</t>
  </si>
  <si>
    <t>Lý thuyết công tác xã hội</t>
  </si>
  <si>
    <t>Phương pháp nghiên cứu công tác xã hội</t>
  </si>
  <si>
    <t>Công tác xã hội với cá nhân</t>
  </si>
  <si>
    <t>Công tác xã hội với nhóm</t>
  </si>
  <si>
    <t>Tham vấn trong công tác xã hội</t>
  </si>
  <si>
    <t>Quản trị ngành Công tác xã hội (Đồ án)</t>
  </si>
  <si>
    <t>Thiết kế nghiên cứu công tác xã hội (Đồ án)</t>
  </si>
  <si>
    <t>b.12</t>
  </si>
  <si>
    <t>Lịch sử Đảng Cộng sản Việt Nam</t>
  </si>
  <si>
    <t>Thực tập cuối khóa</t>
  </si>
  <si>
    <t>Thực hành kỹ năng lữ hành</t>
  </si>
  <si>
    <t>Thực hành kỹ năng khách sạn</t>
  </si>
  <si>
    <t>Thực tế du lịch tuyến điểm phía Nam</t>
  </si>
  <si>
    <t>Thực tế du lịch tuyến điểm phía Bắc</t>
  </si>
  <si>
    <t>b.6</t>
  </si>
  <si>
    <t>Thực tế tuyến điểm phía Bắc</t>
  </si>
  <si>
    <t>b.7</t>
  </si>
  <si>
    <t>b.8</t>
  </si>
  <si>
    <t>Thực hành công tác xã hội cá nhân và nhóm</t>
  </si>
  <si>
    <t>b.9</t>
  </si>
  <si>
    <t>Thực hành phát triển cộng đồng</t>
  </si>
  <si>
    <t>b.10</t>
  </si>
  <si>
    <t>Thực hành nghiên cứu trong công tác xã hội</t>
  </si>
  <si>
    <t>b.11</t>
  </si>
  <si>
    <t>Thực tế chuyên môn Công tác xã hội</t>
  </si>
  <si>
    <t>ĐCS VN trong tiến trình CMVN</t>
  </si>
  <si>
    <t>Kiểm tra đánh giá theo hướng phát triển PCNL</t>
  </si>
  <si>
    <t xml:space="preserve">Văn hóa dân gian Việt Nam </t>
  </si>
  <si>
    <t xml:space="preserve">Văn hóa các dân tộc ít người ở Việt Nam </t>
  </si>
  <si>
    <t>Văn hóa ẩm thực Việt Nam</t>
  </si>
  <si>
    <t>Quản lý văn hóa trong bối cảnh hội nhập quốc tế</t>
  </si>
  <si>
    <t xml:space="preserve">Quản lý các thiết chế văn hóa </t>
  </si>
  <si>
    <t xml:space="preserve">Quản lý Bảo tàng và Thư viện </t>
  </si>
  <si>
    <t xml:space="preserve">Quản lý Nhà văn hóa - Câu lạc bộ </t>
  </si>
  <si>
    <t>Quản lý di sản văn hóa</t>
  </si>
  <si>
    <t>Công tác xã hội với cá nhân và nhóm</t>
  </si>
  <si>
    <t>Kỹ năng giao tiếp</t>
  </si>
  <si>
    <t xml:space="preserve">Tự chọn 2 </t>
  </si>
  <si>
    <t xml:space="preserve">Tự chọn 3 </t>
  </si>
  <si>
    <t>Tự chọn 4</t>
  </si>
  <si>
    <t>Cán bộ hành chính 05</t>
  </si>
  <si>
    <t>CBGD đảm nhận ĐM giờ tập sự (thử việc): 0</t>
  </si>
  <si>
    <t>CBGD đảm nhận ĐM giờ giảng viên trở lên: 64</t>
  </si>
  <si>
    <t>CBGD đảm nhận ĐM giờ giáo viên: 0</t>
  </si>
  <si>
    <t>Phạm Thị Thúy Liễu</t>
  </si>
  <si>
    <t>GVC</t>
  </si>
  <si>
    <t>Nguyễn Thị Thanh</t>
  </si>
  <si>
    <t>GV</t>
  </si>
  <si>
    <t>Hà Thị Thúy</t>
  </si>
  <si>
    <t>Nghỉ sinh</t>
  </si>
  <si>
    <t>Bùi Thuận Yến</t>
  </si>
  <si>
    <t xml:space="preserve"> Ngũ Thị Như Hoa</t>
  </si>
  <si>
    <t>Trợ lý đào tạo trực tuyến</t>
  </si>
  <si>
    <t>Nguyễn Thị Phương Thảo (1989)</t>
  </si>
  <si>
    <t>Hồ Thị Duyên</t>
  </si>
  <si>
    <t>Trần Thị Vân Trà</t>
  </si>
  <si>
    <t xml:space="preserve">Trợ lý đào tạo </t>
  </si>
  <si>
    <t>Phạm Thị Huyền Sang</t>
  </si>
  <si>
    <t>Trưởng Khoa</t>
  </si>
  <si>
    <t>Nguyễn Mai Ly</t>
  </si>
  <si>
    <t>Hồ Thị Hải</t>
  </si>
  <si>
    <t>Cố vấn học tập</t>
  </si>
  <si>
    <t>Nguyễn Thị Hồng Nhật</t>
  </si>
  <si>
    <t>Chủ tịch công đoàn</t>
  </si>
  <si>
    <t>Chu Thị Trinh</t>
  </si>
  <si>
    <t>Con nhỏ dưới 36 tháng</t>
  </si>
  <si>
    <t>Phan Nữ Hiền Oanh</t>
  </si>
  <si>
    <t>Lê Hồng Hạnh</t>
  </si>
  <si>
    <t>Nguyễn Thị Phương Thảo</t>
  </si>
  <si>
    <t>Đinh Ngọc Thắng</t>
  </si>
  <si>
    <t xml:space="preserve">Tiến sĩ, Hiệu trưởng </t>
  </si>
  <si>
    <t>Giảm 30%</t>
  </si>
  <si>
    <t>Đinh Văn Liêm</t>
  </si>
  <si>
    <t>Tiến sĩ, Trưởng Khoa</t>
  </si>
  <si>
    <t>Giảm 25%</t>
  </si>
  <si>
    <t>Nguyễn Văn Đại</t>
  </si>
  <si>
    <t>Tiến sĩ, Giảng viên</t>
  </si>
  <si>
    <t>Giảm 20%</t>
  </si>
  <si>
    <t>Nguyễn Thị Hà</t>
  </si>
  <si>
    <t>Hồ Thị Nga</t>
  </si>
  <si>
    <t>Nguyễn Thị Bích Ngọc</t>
  </si>
  <si>
    <t>Ngô Thị Thu Hoài</t>
  </si>
  <si>
    <t>Tiến sĩ, Giảng viên, CVHT</t>
  </si>
  <si>
    <t>Giảm 15%</t>
  </si>
  <si>
    <t>Nguyễn Thị Thùy Dung</t>
  </si>
  <si>
    <t>Tiến  sĩ, Giảng viên, TLĐT</t>
  </si>
  <si>
    <t>Cao Thị Ngọc Yến</t>
  </si>
  <si>
    <t>Thạc sĩ, Giảng viên</t>
  </si>
  <si>
    <t>Giảm 50% giờ dạy</t>
  </si>
  <si>
    <t>Nguyễn Thị Mai Anh</t>
  </si>
  <si>
    <t>Thạc sĩ, Giảng viên, TLĐT trực tuyến</t>
  </si>
  <si>
    <t>Giảm 50% giờ dạy, 10% các hoạt động khác</t>
  </si>
  <si>
    <t>Đoàn Minh Trang</t>
  </si>
  <si>
    <t>Thạc sĩ, Giảng viên, Bí thư Đoàn trường</t>
  </si>
  <si>
    <t>Học NCS tập trung</t>
  </si>
  <si>
    <t>Nguyễn Văn Dũng</t>
  </si>
  <si>
    <t>Tiến sĩ, Trưởng BM</t>
  </si>
  <si>
    <t>Bùi Thị Phương Quỳnh</t>
  </si>
  <si>
    <t>Tiến sĩ, CTCĐ</t>
  </si>
  <si>
    <t>Giám 15%</t>
  </si>
  <si>
    <t>Nguyễn Thị Thanh Trâm</t>
  </si>
  <si>
    <t>Đặng Thị Phương Linh</t>
  </si>
  <si>
    <t>Nguyễn Thị Mai Trang</t>
  </si>
  <si>
    <t>Hồ Trọng Hữu</t>
  </si>
  <si>
    <t>Bùi Hạnh Phúc</t>
  </si>
  <si>
    <t>Thạc sĩ, GV, CVHT</t>
  </si>
  <si>
    <t xml:space="preserve"> Trần Viết Quang</t>
  </si>
  <si>
    <t>GVCC, PGS.TS</t>
  </si>
  <si>
    <t>Phó hiệu trưởng</t>
  </si>
  <si>
    <t>Vũ Thị Phương Lê</t>
  </si>
  <si>
    <t>GVC,TS</t>
  </si>
  <si>
    <t>Trưởng khoa</t>
  </si>
  <si>
    <t>Phạm Thị Bình</t>
  </si>
  <si>
    <t>GVC, TS</t>
  </si>
  <si>
    <t>Chủ tịch CĐT</t>
  </si>
  <si>
    <t>Đinh Thế Định</t>
  </si>
  <si>
    <t>Phạm Thị Thúy Hồng</t>
  </si>
  <si>
    <t>97,5</t>
  </si>
  <si>
    <t>40,5</t>
  </si>
  <si>
    <t>26,25</t>
  </si>
  <si>
    <t>30,75</t>
  </si>
  <si>
    <t>552,5</t>
  </si>
  <si>
    <t>229,5</t>
  </si>
  <si>
    <t>148,75</t>
  </si>
  <si>
    <t>174,25</t>
  </si>
  <si>
    <t>Chủ tịch CĐK</t>
  </si>
  <si>
    <t>Trương Thị Phương Thảo</t>
  </si>
  <si>
    <t>16,5</t>
  </si>
  <si>
    <t>20,5</t>
  </si>
  <si>
    <t>158,5</t>
  </si>
  <si>
    <t>184,5</t>
  </si>
  <si>
    <t>TL trực tuyến</t>
  </si>
  <si>
    <t>Nguyễn Thị Lê Vinh</t>
  </si>
  <si>
    <t>68,85</t>
  </si>
  <si>
    <t>NCS không TT, trợ lý đào tạo</t>
  </si>
  <si>
    <t>Phan Văn Tuấn</t>
  </si>
  <si>
    <t>Phó khoa</t>
  </si>
  <si>
    <t>Lê Thị Thanh Hiếu</t>
  </si>
  <si>
    <t>Ths</t>
  </si>
  <si>
    <t>21,5</t>
  </si>
  <si>
    <t>148,5</t>
  </si>
  <si>
    <t>193,5</t>
  </si>
  <si>
    <t>Phó BTCBSV Trường</t>
  </si>
  <si>
    <t>Hắc Xuân Cảnh</t>
  </si>
  <si>
    <t>Hiệu phó</t>
  </si>
  <si>
    <t>Nguyễn Thị Quỳnh Nga</t>
  </si>
  <si>
    <t>NCS, nghỉ sinh 6 tháng</t>
  </si>
  <si>
    <t>Lê Thị Thu Hiền</t>
  </si>
  <si>
    <t>Lê Hà Phương</t>
  </si>
  <si>
    <t>Nguyễn Thanh Hải</t>
  </si>
  <si>
    <t>Nguyễn Văn Trung</t>
  </si>
  <si>
    <t>Bùi Văn Hào</t>
  </si>
  <si>
    <t>GVCC</t>
  </si>
  <si>
    <t>Nguyễn Hồng Vinh</t>
  </si>
  <si>
    <t>Trợ lý đào tạo</t>
  </si>
  <si>
    <t>Bùi Minh Thuận</t>
  </si>
  <si>
    <t>Võ Thị Hoài Thương</t>
  </si>
  <si>
    <t>Bí thư Chi bộ HSSV</t>
  </si>
  <si>
    <t>Trần Thị Thủy</t>
  </si>
  <si>
    <t>Nguyễn Thị Thanh Thanh</t>
  </si>
  <si>
    <t>Lê Thị Hải Lý</t>
  </si>
  <si>
    <t>Võ Thị Anh Mai</t>
  </si>
  <si>
    <t>Trợ lý trực tuyến</t>
  </si>
  <si>
    <t>Võ Thị Cẩm Ly</t>
  </si>
  <si>
    <t>Ông Thị Mai Thương</t>
  </si>
  <si>
    <t>Phùng Văn Nam</t>
  </si>
  <si>
    <t>Phan Thị Thúy Hà</t>
  </si>
  <si>
    <t>Phạm Thị Oanh</t>
  </si>
  <si>
    <t>Trần Thị Khánh Dung</t>
  </si>
  <si>
    <t>Nguyễn Thị Hoài An</t>
  </si>
  <si>
    <t>CBGD đảm nhận ĐM giờ giảng viên trở lên: 0</t>
  </si>
  <si>
    <t>Khoa CTXH và Du lịch</t>
  </si>
  <si>
    <t xml:space="preserve">        TRƯỜNG ĐẠI HỌC KHOA HỌC XÃ HỘI NHÂN VĂN</t>
  </si>
  <si>
    <t xml:space="preserve">Hoạt động thực tập cuối khóa </t>
  </si>
  <si>
    <t>Đại học</t>
  </si>
  <si>
    <t>K59</t>
  </si>
  <si>
    <t xml:space="preserve">Hoạt động rèn nghề </t>
  </si>
  <si>
    <t>K59-K62</t>
  </si>
  <si>
    <t>Hoạt động mời chuyên gia trao đổi ký năng hành nghề cho sinh viên</t>
  </si>
  <si>
    <t>Toàn khoa</t>
  </si>
  <si>
    <t xml:space="preserve">5 người </t>
  </si>
  <si>
    <r>
      <t xml:space="preserve">Số kinh phí đề nghị cấp </t>
    </r>
    <r>
      <rPr>
        <sz val="10"/>
        <color theme="1"/>
        <rFont val="Times New Roman"/>
        <family val="1"/>
      </rPr>
      <t>(VNĐ)</t>
    </r>
  </si>
  <si>
    <t>Thực tập</t>
  </si>
  <si>
    <t>CQ</t>
  </si>
  <si>
    <t>Trong trường</t>
  </si>
  <si>
    <t>Rèn nghề</t>
  </si>
  <si>
    <t>Khoa Du lịch và CTXH</t>
  </si>
  <si>
    <t>60 DL</t>
  </si>
  <si>
    <t>Phụ lục 6</t>
  </si>
  <si>
    <t>61 DL</t>
  </si>
  <si>
    <t>Phụ lục 7</t>
  </si>
  <si>
    <t>ĐH, CQ</t>
  </si>
  <si>
    <t>60CTXH</t>
  </si>
  <si>
    <t>Ngoài trường</t>
  </si>
  <si>
    <t>Phụ lục 2</t>
  </si>
  <si>
    <t>Thực hành Phát triển cộng đồng</t>
  </si>
  <si>
    <t>Phụ lục 3</t>
  </si>
  <si>
    <t>Thực hành nghiên cứu trong Công tác xã hội</t>
  </si>
  <si>
    <t>61CTXH</t>
  </si>
  <si>
    <t>Phụ lục 4</t>
  </si>
  <si>
    <t>Thực tế chuyên môn công tác xã hội</t>
  </si>
  <si>
    <t>Phụ lục 5</t>
  </si>
  <si>
    <t>Thực tập cuối khoá ngành CTXH</t>
  </si>
  <si>
    <t>59CTXH</t>
  </si>
  <si>
    <t>Phụ lục 1</t>
  </si>
  <si>
    <t>Thực tập cuối khóa ngành Du lịch</t>
  </si>
  <si>
    <t>59 Du lịch</t>
  </si>
  <si>
    <t>Phụ lục 8</t>
  </si>
  <si>
    <t>Hội thi "Sinh viên với việc rèn luyện kỹ năng nghề nghiệp" cấp Viện</t>
  </si>
  <si>
    <t>59-61</t>
  </si>
  <si>
    <t>Mời diễn giả bồi dưỡng chuyên đề về đào tạo ngành Công tác xã hội trong bối cảnh mới</t>
  </si>
  <si>
    <t>Mời diễn giả bồi dưỡng chuyên đề đào tạo ngành Du lịch trong bối cảnh mới</t>
  </si>
  <si>
    <t>Thực tập k59 Chính trị học</t>
  </si>
  <si>
    <t>Thực tập k59 Quản lý nhà nước</t>
  </si>
  <si>
    <t>Thực tập k59 Báo chí</t>
  </si>
  <si>
    <t>Đi thực tế chuyên môn</t>
  </si>
  <si>
    <t>Máy tính</t>
  </si>
  <si>
    <t>Máy in</t>
  </si>
  <si>
    <t>Văn phòng phẩm cho cán bộ</t>
  </si>
  <si>
    <t>Văn phòng phẩm cho sinh viên</t>
  </si>
  <si>
    <t>Tiền phấn</t>
  </si>
  <si>
    <t>Ghế gỗ</t>
  </si>
  <si>
    <t>Tủ, ổ khoá, cửa</t>
  </si>
  <si>
    <t>Điều hoà</t>
  </si>
  <si>
    <t>Bình luận: Luật tố tụng Hình sự</t>
  </si>
  <si>
    <t>Đào tạo đại học</t>
  </si>
  <si>
    <t>Giáo trình Luật Hành chính</t>
  </si>
  <si>
    <t>Giáo trình Luật Tố tụng hình sự</t>
  </si>
  <si>
    <t>Bình Luận: Luật hiến pháp</t>
  </si>
  <si>
    <t>Giáo trình Luật tố tụng dân sự, NXB Hồng Đức - Hội Luật gia Việt Nam</t>
  </si>
  <si>
    <t>giáo trình học tập</t>
  </si>
  <si>
    <t>Quyển</t>
  </si>
  <si>
    <t>Đề cương học phần</t>
  </si>
  <si>
    <t>Bình luận những điểm mới của Bộ luật tố tụng dân sự năm 2015, NXB Hồng Đức - Hội Luật gia Việt Nam</t>
  </si>
  <si>
    <t>Sách chuyên khảo</t>
  </si>
  <si>
    <t>Giáo trình Luật tố tụng dân sự</t>
  </si>
  <si>
    <t>Giáo trình Luật thi hành án dân sự</t>
  </si>
  <si>
    <t>Giáo trình Luật Hôn nhân và gia đình, Nxb Đại học Quốc gia Hà Nội, 2018.</t>
  </si>
  <si>
    <t>Giáo trình Kỹ năng tư vấn pháp luật và tham gia giải quyết tranh chấp ngoài tòa án</t>
  </si>
  <si>
    <t>Pháp luật về hợp đồng trong thương mại và đầu tư - những vấn đề pháp lý cơ bản</t>
  </si>
  <si>
    <t>sách chuyên khảo</t>
  </si>
  <si>
    <t>Giáo trình Luật thương mại quốc tế, Trường ĐH Luật Hà Nội, Nxb Công an nhân dân, năm 2020</t>
  </si>
  <si>
    <t>Giáo trình Luật thương mại quốc tế (Phần 1), Trường ĐH Luật Tp HCM, Nxb Hồng Đức, năm 2020</t>
  </si>
  <si>
    <t>Giáo trình Luật thương mại quốc tế (Phần 2), Trường ĐH Luật Tp HCM, Nxb Hồng Đức, năm 2020</t>
  </si>
  <si>
    <t>Giáo trình Pháp luật cộng đồng ASEAN, Trường ĐH Luật Hà Nội, Nxb Công an nhân dân, năm 2020</t>
  </si>
  <si>
    <t>Giáo trình Công pháp quốc tế (Quyển 1), Trường ĐH Luật Tp HCM, Nxb Hồng Đức, năm 2019</t>
  </si>
  <si>
    <t>Giáo trình Công pháp quốc tế (Quyển 2), Trường ĐH Luật Tp HCM, Nxb Hồng Đức, năm 2019</t>
  </si>
  <si>
    <t>Giáo trình Luật quốc tế, Trường ĐH Luật Hà Nội, Nxb Công an nhân dân, năm 2019</t>
  </si>
  <si>
    <t xml:space="preserve"> Kỹ năng viết cho người hành nghề Luật (TS.Trần Thị Quang Hồng; NXB Hồng Đức- 2021-5 quyển)</t>
  </si>
  <si>
    <t>Phương pháp nghiên cứu Luật học (PGS.TS Phạm Duy Nghĩa; Nxb Công an nhân dân; 2014; 5 quyển)</t>
  </si>
  <si>
    <t>Giáo trình Kỹ năng nghiên cứu và lập luận (Trường Đại học Luật Thành phố Hồ Chí Minh; Nxb Hồng Đức - Hội Luật gia Việt Nam; 2020; 5 quyển)</t>
  </si>
  <si>
    <t>Tìm hiểu thuật ngữ pháp luật Tài chính (TS. Trần Vũ Hải; Nxb Tư pháp; 2009; 5 quyển)</t>
  </si>
  <si>
    <t>Giáo trình Luật Lao động Việt Nam, tập 1. Trường ĐH Luật Hà Nội, NXB Công an nhân dân, 2020</t>
  </si>
  <si>
    <t>Giáo trình Luật Lao động Việt Nam, tập 2. Trường ĐH Luật Hà Nội, NXB Công an nhân dân, 2020</t>
  </si>
  <si>
    <t>Giáo trình Luật Đất đai</t>
  </si>
  <si>
    <t>Giáo trình học tập</t>
  </si>
  <si>
    <t>Thạc sĩ</t>
  </si>
  <si>
    <t>Hành chính nhà nước</t>
  </si>
  <si>
    <t>Bùi Văn</t>
  </si>
  <si>
    <t>Hào</t>
  </si>
  <si>
    <t>DL&amp;CTXH</t>
  </si>
  <si>
    <t>Lịch sử</t>
  </si>
  <si>
    <t>TBM</t>
  </si>
  <si>
    <t>PGS.TS</t>
  </si>
  <si>
    <t>tháng 6/2022</t>
  </si>
  <si>
    <t xml:space="preserve">Đinh Thế </t>
  </si>
  <si>
    <t>Định</t>
  </si>
  <si>
    <t>Chính trị và Báo chí</t>
  </si>
  <si>
    <t>Chính trị học</t>
  </si>
  <si>
    <t>01/5/2021-4/2023</t>
  </si>
  <si>
    <t xml:space="preserve">Nguyễn Mai </t>
  </si>
  <si>
    <t>Ly</t>
  </si>
  <si>
    <t>Luật</t>
  </si>
  <si>
    <t>6 tháng</t>
  </si>
  <si>
    <t>Nguyễn Thị Phương</t>
  </si>
  <si>
    <t>Thảo</t>
  </si>
  <si>
    <t>Tiến sĩ</t>
  </si>
  <si>
    <t xml:space="preserve">Hà Thị </t>
  </si>
  <si>
    <t>Thúy</t>
  </si>
  <si>
    <t xml:space="preserve">Trần Thị </t>
  </si>
  <si>
    <t>Thủy</t>
  </si>
  <si>
    <t>Việt Nam học</t>
  </si>
  <si>
    <t xml:space="preserve">Hồ Trọng </t>
  </si>
  <si>
    <t>Hữu</t>
  </si>
  <si>
    <t>Luật hình sự và tố tụng hình sự</t>
  </si>
  <si>
    <t>Nguyễn Thị Hồng</t>
  </si>
  <si>
    <t>Nhật</t>
  </si>
  <si>
    <t>Luật Kinh tế</t>
  </si>
  <si>
    <t>2021 đến 2024</t>
  </si>
  <si>
    <t xml:space="preserve">Nguyễn Thị Phương </t>
  </si>
  <si>
    <t>2022 đến 2026</t>
  </si>
  <si>
    <t>Trần Thị Khánh</t>
  </si>
  <si>
    <t>Dung</t>
  </si>
  <si>
    <t>Công tác XH</t>
  </si>
  <si>
    <t>8/2022 đến 2026</t>
  </si>
  <si>
    <t>Nguyễn Thị Quỳnh</t>
  </si>
  <si>
    <t>Nga</t>
  </si>
  <si>
    <t>2022 đến 2025</t>
  </si>
  <si>
    <t xml:space="preserve">Hồ Thị </t>
  </si>
  <si>
    <t>Hải</t>
  </si>
  <si>
    <t xml:space="preserve">Trần Thị Vân </t>
  </si>
  <si>
    <t>Trà</t>
  </si>
  <si>
    <t>Nguyễn Thị Thùy</t>
  </si>
  <si>
    <t xml:space="preserve">Ngô Thị Thu </t>
  </si>
  <si>
    <t>Hoài</t>
  </si>
  <si>
    <t>Dũng</t>
  </si>
  <si>
    <t xml:space="preserve">Nguyễn Văn </t>
  </si>
  <si>
    <t>Trung</t>
  </si>
  <si>
    <t>8/2020 - 8/2024</t>
  </si>
  <si>
    <t>Nguyễn Thị Mai</t>
  </si>
  <si>
    <t>Anh</t>
  </si>
  <si>
    <t>1/2022 - 6/2023</t>
  </si>
  <si>
    <t>Trâm</t>
  </si>
  <si>
    <t>Hồ Thị</t>
  </si>
  <si>
    <t>Chu Thị</t>
  </si>
  <si>
    <t>Trinh</t>
  </si>
  <si>
    <t>Đinh Ngọc</t>
  </si>
  <si>
    <t>Thắng</t>
  </si>
  <si>
    <t>Hội nghị mạng lưới cơ sở đào tạo luật</t>
  </si>
  <si>
    <t>Đinh Văn</t>
  </si>
  <si>
    <t>Liêm</t>
  </si>
  <si>
    <t>Phạm Thị Huyền</t>
  </si>
  <si>
    <t>Sang</t>
  </si>
  <si>
    <t xml:space="preserve">Đinh Văn </t>
  </si>
  <si>
    <t xml:space="preserve">Giảng viên </t>
  </si>
  <si>
    <t>Duyên</t>
  </si>
  <si>
    <t xml:space="preserve">Nguyễn Thị </t>
  </si>
  <si>
    <t>Hà</t>
  </si>
  <si>
    <t>Dự án: Tăng cường tiếp cận pháp luật về bảo vệ tài nguyên nước tại 05 xã miền núi huyện Thanh Chương, tỉnh Nghệ An</t>
  </si>
  <si>
    <t>TS Hà Thị Thuý</t>
  </si>
  <si>
    <t>Dự án được ký bởi Trung tâm Tư vấn pháp luật Đại học Vinh do sự tài trợ của Tổ chức Oxfam Việt Nam (Bộ Tư pháp là đơn vị chủ quản), Kết quả dự án: 1 cuốn sách Cẩm nang phổ biến, giáo dục pháp luật về bảo vệ môi trường, 1 Hội thảo quốc tế về Hoàn thiện pháp luật về bảo vệ môi trường.</t>
  </si>
  <si>
    <t>Đề tài CDIO cấp trường, tên đề tài: Xây dựng đề cương chi tiết mẫu cho học phần đồ án</t>
  </si>
  <si>
    <t>Chính trị học, QLNN</t>
  </si>
  <si>
    <t>Đề tài CDIO cấp trường các môn Lý luận chính trị</t>
  </si>
  <si>
    <t>Phòng ngừa vị thành niên phạm tội dựa vào cộng đồng (Nghiên cứu trường hợp xã Nghi Phú - Thành phố Vinh - tỉnh Nghệ An)</t>
  </si>
  <si>
    <t>CTXH và Du lịch</t>
  </si>
  <si>
    <t>Hoạt động kinh tế - xã hội của người đi lao động nước ngoài trở về (Nghiên cứu trên địa bàn tỉnh Nghệ An)</t>
  </si>
  <si>
    <t>Phát triển du lịch cộng đồng gắn với bảo tồn và phát huy các giá trị văn hóa Thái ở Con Cuông, Nghệ An</t>
  </si>
  <si>
    <t>Nghiên cứu giải pháp nâng cao năng lực giảng viên đáp ứng yêu cầu chuyển đổi số trong cơ sở giáo dục đại học</t>
  </si>
  <si>
    <t>Đề tài: Giải pháp nâng cao hiệu quả học tập trực tuyến cho sinh viển, học sinh trường Đại học Vinh</t>
  </si>
  <si>
    <t>Luật học</t>
  </si>
  <si>
    <t>Đề tài: Tuyên truyền phòng chống dịch bệnh CoVid 19 cho sinh viên trường Đại học Vinh - Thực trạng và giải pháp</t>
  </si>
  <si>
    <t>Đề tài: Giải pháp nâng cao hiệu quả thực tập nghề sinh viên ngành Luật- trường Đại học Vinh</t>
  </si>
  <si>
    <t>Đề tài: Thực thi chính sách an sinh xã hội ở các tỉnh Bắc Trung Bộ hiện nay</t>
  </si>
  <si>
    <t>Đề tài: Bảo đảm quyền lợi của người lao động trong bối cảnh Covid từ thực tiễn tỉnh Nghệ An hiện nay</t>
  </si>
  <si>
    <t>Đề tài: Tuyên truyền phổ biến pháp luật về an toàn thực phẩm cho người tiêu dùng trên địa bàn thành phố Vinh, tỉnh Nghệ An</t>
  </si>
  <si>
    <t>Đề tài: Nâng cao cơ hội nghề nghiệp cho sinh viên tốt nghiệp ngành Luật Kinh tế, Trường Đại học Vinh</t>
  </si>
  <si>
    <t>Công bố Scopus chuyên ngành Q4</t>
  </si>
  <si>
    <t>Tuyên truyền, phổ biến pháp luật về hàng thật, hàng giả cho người tiêu dùng là sinh viên trên địa bàn thành phố Vinh, tỉnh Nghệ An.</t>
  </si>
  <si>
    <t>TS Phạm Thị Thuý Liễu</t>
  </si>
  <si>
    <t>Giảng viên phụ trách</t>
  </si>
  <si>
    <t>Giải quyết khiếu nại tố cáo của công dân.</t>
  </si>
  <si>
    <t>Hội thảo kết hợp với Trường Chính trị tỉnh Nghệ An: "Tổ chức và hoạt động chính quyền đô thị hiện nay"</t>
  </si>
  <si>
    <t>Hội thảo: "Tổ chức trong hoạt động tư pháp, đáp ứng yêu cầu xây dựng, hoàn thiện Nhà nước pháp quyền XHCN"</t>
  </si>
  <si>
    <t xml:space="preserve">Hội thảo về lấy ý kiến chuẩn đầu ra, mục tiêu CTĐT, khung CT đề án mở mã ngành Luật Dân sự và Tố tụng Dân sự </t>
  </si>
  <si>
    <t>Luật KT</t>
  </si>
  <si>
    <t>Yêu cầu bắt buộc khi thực hiện đánh giá ngoài CCTĐT</t>
  </si>
  <si>
    <t xml:space="preserve">Tổng </t>
  </si>
  <si>
    <t>Bộ</t>
  </si>
  <si>
    <t>KẾ HOẠCH BIÊN SOẠN, XUẤT BẢN GIÁO TRÌNH, TÀI LIỆU HỌC TẬP
Năm tài chính 2022</t>
  </si>
  <si>
    <t>Tên giáo trình/tài liệu học tập 
đăng ký biên soạn, xuất bản</t>
  </si>
  <si>
    <t>Tên học phần tương ứng</t>
  </si>
  <si>
    <t>Hệ ĐT
ĐH/SĐH</t>
  </si>
  <si>
    <t>Mã HP</t>
  </si>
  <si>
    <t>Số TC</t>
  </si>
  <si>
    <t>Khoa quản lý HP</t>
  </si>
  <si>
    <t>Chủ biên (chức danh, học vị)</t>
  </si>
  <si>
    <t xml:space="preserve">Các đồng tác giả </t>
  </si>
  <si>
    <t>Thời gian nộp bản thảo</t>
  </si>
  <si>
    <t>Giáo trình Luật tố tụng Hình sự</t>
  </si>
  <si>
    <t>ĐH</t>
  </si>
  <si>
    <t>TS. Nguyễn Văn Dũng. 
TS. Bùi Thị Phương Quỳnh</t>
  </si>
  <si>
    <t>Tháng 1/2022</t>
  </si>
  <si>
    <t>Giáo trình quyền con người trong xã hội hiện đại</t>
  </si>
  <si>
    <t xml:space="preserve">Quyền con người trong xã hội hiện đại </t>
  </si>
  <si>
    <t>TS. Nguyễn Văn Dũng. 
TS. Đinh Ngọc Thắng</t>
  </si>
  <si>
    <t>PL đại cương</t>
  </si>
  <si>
    <t>TS. Nguyễn Thị Hà, TS. Nguyễn Văn Đại</t>
  </si>
  <si>
    <t>TS. Đinh Văn Liêm</t>
  </si>
  <si>
    <t>Giáo trình "Luật Thương mại"</t>
  </si>
  <si>
    <t>Luật Thương mại</t>
  </si>
  <si>
    <t>TS. Phạm Thị Huyền Sang, TS.Hồ Thị Duyên</t>
  </si>
  <si>
    <t>Giáo trình "Luật Kinh tế"</t>
  </si>
  <si>
    <t>Sách chuyên khảo "Pháp luật về giao đất để xây dựng nhà ở thương mại"</t>
  </si>
  <si>
    <t>TS. Lê Hồng Hạnh, TS. Hà Thị Thúy</t>
  </si>
  <si>
    <t>Giáo trình "Luật Tài chính Việt Nam"</t>
  </si>
  <si>
    <t>TS. Hồ Thị Hải</t>
  </si>
  <si>
    <t>ThS. Nguyễn Mai Ly, ThS. Nguyễn Thị Hồng Nhật</t>
  </si>
  <si>
    <t>Sách chuyên khảo "Pháp luật về giám sát sử dụng vốn nhà nước đầu tư vào doanh nghiệp ở Việt Nam hiện nay"</t>
  </si>
  <si>
    <t>TS. Hồ Thị Hải, TS Hồ Thị Duyên</t>
  </si>
  <si>
    <t>Đảng Cộng sản Việt Nam trong tiến trình cách mạng Việt Nam</t>
  </si>
  <si>
    <t>TS Nguyễn Văn Trung</t>
  </si>
  <si>
    <t>Du lịch và QLVH</t>
  </si>
  <si>
    <t>Xã hội học Đại cương</t>
  </si>
  <si>
    <t>Nghệ An, ngày    tháng     năm 2022</t>
  </si>
  <si>
    <t>Ngoài Trường</t>
  </si>
  <si>
    <t>Kinh phí hoạt động Câu lạc bộ Thực hành pháp luật CLE-VU</t>
  </si>
  <si>
    <t>Thực tế khoa Luật kinh tế</t>
  </si>
  <si>
    <t>Thuê gv thỉnh giảng</t>
  </si>
  <si>
    <t>TRƯỜNG KHOA HỌC XÃ HỘI &amp;NHÂN VĂN</t>
  </si>
  <si>
    <t xml:space="preserve">        TRƯỜNG KHOA HỌC XÃ HỘI &amp;NHÂN VĂN</t>
  </si>
  <si>
    <t>KHOA CÔNG TÁC XÃ HỘI - DU LỊCH</t>
  </si>
  <si>
    <t>KHOA LUẬT KINH TẾ</t>
  </si>
  <si>
    <t>KHOA LUẬT HỌC</t>
  </si>
  <si>
    <t xml:space="preserve">Công tác thực hành </t>
  </si>
  <si>
    <t>Thực tế chuyên môn Khoa Chính trị</t>
  </si>
  <si>
    <t>Học kì 2 năm học 2021 - 2022 + Học Kì hè</t>
  </si>
  <si>
    <t>Học kì 1 năm học 2022 - 2023</t>
  </si>
  <si>
    <t>18</t>
  </si>
  <si>
    <t>*</t>
  </si>
  <si>
    <t>HỌC kỳ 2 + Học kỳ Hè (2021-2022)</t>
  </si>
  <si>
    <r>
      <t>H</t>
    </r>
    <r>
      <rPr>
        <b/>
        <sz val="10"/>
        <color theme="1"/>
        <rFont val="Times New Roman"/>
        <family val="1"/>
      </rPr>
      <t>ọc kỳ 1 (2022-2023)</t>
    </r>
  </si>
  <si>
    <t>Luật tố tụng Hành chính</t>
  </si>
  <si>
    <t>2.2.</t>
  </si>
  <si>
    <t>Học kỳ 2 (2021-2022) và học kỳ hè</t>
  </si>
  <si>
    <t>Học phần Pháp luật TTDS và TTHS</t>
  </si>
  <si>
    <t>Hướng dẫn thực tập cuối khóa 59 Luật kinh tế</t>
  </si>
  <si>
    <t>Học kỳ 1 (2022-2023)</t>
  </si>
  <si>
    <t>b.13</t>
  </si>
  <si>
    <t>b.14</t>
  </si>
  <si>
    <t>b.15</t>
  </si>
  <si>
    <t>b.16</t>
  </si>
  <si>
    <t>Học kỳ 2(2021-2022) + Học Kỳ Hè</t>
  </si>
  <si>
    <t>A.I</t>
  </si>
  <si>
    <t>A.II</t>
  </si>
  <si>
    <t>B.I</t>
  </si>
  <si>
    <t>C.I</t>
  </si>
  <si>
    <t>B.II</t>
  </si>
  <si>
    <t>Giáo trình Quản lý nhà nước về dân tộc và tôn giáo</t>
  </si>
  <si>
    <t>SMT30015</t>
  </si>
  <si>
    <t>QLNN</t>
  </si>
  <si>
    <t>TS Vũ Thị Phương Lê, </t>
  </si>
  <si>
    <t>NCS Nguyễn Thị Lê Vinh</t>
  </si>
  <si>
    <t>Các loại hình và các vùng du lịch Việt Nam</t>
  </si>
  <si>
    <t>1.1.</t>
  </si>
  <si>
    <t xml:space="preserve">a. </t>
  </si>
  <si>
    <t>Giảng dạy ĐH Chính quy</t>
  </si>
  <si>
    <t>Hướng dẫn, thực hành, thực tế, thực tập; luận văn và đổ án TN</t>
  </si>
  <si>
    <t>2.1.</t>
  </si>
  <si>
    <t xml:space="preserve">Đại học chính quy </t>
  </si>
  <si>
    <t>Hoạt động thực tế bộ môn Hình sự: Học tập mô hình phát triển chương trình đào tạo tại trường Đại học Luật Thành phố Hồ Chí Minh</t>
  </si>
  <si>
    <t>Hoạt động thực tế bộ môn Hành chính Nhà nước: Học tập mô hình trung tâm tư vấn pháp luật tại trường Đại học Luật Hà Nội</t>
  </si>
  <si>
    <t xml:space="preserve">Mời chuyên gia nói chuyện chuyên đề </t>
  </si>
  <si>
    <t>K60-62</t>
  </si>
  <si>
    <t>Học kỳ II và học kỳ hè năm học 2021 - 2022</t>
  </si>
  <si>
    <t xml:space="preserve">Thành tiền học. Học kỳ II và học kỳ hè năm học 2021 - 2022 
------------
</t>
  </si>
  <si>
    <t xml:space="preserve">Điều 47 - QCCTNB </t>
  </si>
  <si>
    <t>TRƯỜNG KHXH&amp;NV</t>
  </si>
  <si>
    <t>Chi chú</t>
  </si>
  <si>
    <t>Đào tạo Nghiên cứu sinh (Chính trị)</t>
  </si>
  <si>
    <t>Đại</t>
  </si>
  <si>
    <t>2022-2023</t>
  </si>
  <si>
    <t>Khoa CT-Báo chí</t>
  </si>
  <si>
    <t xml:space="preserve">           </t>
  </si>
  <si>
    <t xml:space="preserve">  </t>
  </si>
  <si>
    <t xml:space="preserve">Đinh Ngọc </t>
  </si>
  <si>
    <t>PGS</t>
  </si>
  <si>
    <t>Luật kinh tế</t>
  </si>
  <si>
    <t>Chính trị</t>
  </si>
  <si>
    <t>CTXH</t>
  </si>
  <si>
    <t>ĐN</t>
  </si>
  <si>
    <t>Thừa giờ</t>
  </si>
  <si>
    <t>thửa giờ</t>
  </si>
  <si>
    <t>HIỆU TRƯỞNG</t>
  </si>
  <si>
    <t>TS. Đinh Ngọc Thắng</t>
  </si>
  <si>
    <t>TRƯỞNG KHOA</t>
  </si>
  <si>
    <t>TS. Phạm Thị Huyền Sang</t>
  </si>
  <si>
    <t>TS. Nguyễn Văn Trung</t>
  </si>
  <si>
    <t>TS. Vũ Thị Phương Lê</t>
  </si>
  <si>
    <t>TS Đinh Ngọc Thắng</t>
  </si>
  <si>
    <t>hiệu trưởng</t>
  </si>
  <si>
    <t>TS. Vũ Thị Phương lê</t>
  </si>
  <si>
    <t>Ngày     tháng     năm 2021</t>
  </si>
  <si>
    <t>TS.  Đinh Ngọc Thắng</t>
  </si>
  <si>
    <t xml:space="preserve"> KHOA DU LỊCH VÀ CÔNG TÁC XÃ HỘI</t>
  </si>
  <si>
    <t xml:space="preserve">           KHOA CHÍNH TRỊ VÀ BÁO CHÍ</t>
  </si>
  <si>
    <t>04</t>
  </si>
  <si>
    <t>03</t>
  </si>
  <si>
    <t>01</t>
  </si>
  <si>
    <t>SĐH</t>
  </si>
  <si>
    <t>SỬA HỆ SỐ VB2 = 1,5</t>
  </si>
  <si>
    <t>Giáo trình Lý luận quản lý nhà nước</t>
  </si>
  <si>
    <t>Vấn đề dân tộc và chính sách dân tộc</t>
  </si>
  <si>
    <t>Vấn đề tôn giáo và chính sách tôn giáo</t>
  </si>
  <si>
    <t>Những vấn đề chủ yếu về quản lý nhà nước đối với vùng lãnh thổ</t>
  </si>
  <si>
    <t>Quản lý nhà nước đối với hoạt động tôn giáo ở Việt Nam hiện nay</t>
  </si>
  <si>
    <t>Giáo trình hệ thống chính trị Việt Nam</t>
  </si>
  <si>
    <t>Đề tài: Nâng cao hiệu quả học tập môn đồ án ngành Báo chí</t>
  </si>
  <si>
    <t>Đề tài: Nâng cao hiệu quả học tập môn đồ án ngành Quản lý nhà nước</t>
  </si>
  <si>
    <t>Diễn đàn trao đổi với chuyên gia về vấn đề chính trị và truyền thông trong giai đoạn hiện nay</t>
  </si>
  <si>
    <t>Trước 30/8/2023</t>
  </si>
  <si>
    <t>Giáo trình Di tích lịch sử - văn hóa và danh lam thắng cảnh Việt Nam</t>
  </si>
  <si>
    <t>TOU30008</t>
  </si>
  <si>
    <t>Giảng viên chính, Tiến sĩ Nguyễn Hồng Vinh (Chủ biên)</t>
  </si>
  <si>
    <t>PGS.TS Bùi Văn Hào</t>
  </si>
  <si>
    <t>Trước 30/08/2022 (5)</t>
  </si>
  <si>
    <t>Giáo trình Xã hội học đại cương</t>
  </si>
  <si>
    <t>SOW20001</t>
  </si>
  <si>
    <t>Giảng viên chính, Tiến sĩ Võ Thị Cẩm Ly (Chủ biên)</t>
  </si>
  <si>
    <t>22/08/2021 (5)</t>
  </si>
  <si>
    <t>PGS.TS Phạm Xuân
 Mỹ</t>
  </si>
  <si>
    <t xml:space="preserve">TS. Ông Thị Mai Thương </t>
  </si>
  <si>
    <t>Giáo trình Hành vi con người và Môi trường
 xã hội, NXb Đại học Quốc Gia Hà Nội 2019</t>
  </si>
  <si>
    <t>Quản trị kinh doanh khách sạn, , NXB Đại học 
Kinh tế quốc dân, 2010</t>
  </si>
  <si>
    <t>Chiến lược phát triển du lịch Việt Nam đến năm 2020, tầm nhìn 2030, NXB Văn hóa - Thông tin, Hà Nội, 2011</t>
  </si>
  <si>
    <t>Thị trường du lịch, NXB Đại học Quốc gia, Hà Nội</t>
  </si>
  <si>
    <t>Du lịch văn hóa – những vấn đề 
lý luận và thực tiễn, NXB Giáo dục Việt Nam, 2011</t>
  </si>
  <si>
    <t>Văn hóa du lịch, NXB Văn hóa – Thông tin,</t>
  </si>
  <si>
    <t xml:space="preserve"> Giáo trình Nghiệp vụ lữ hành, NXB Đại học Quốc gia Thành phố Hồ Chí Minh</t>
  </si>
  <si>
    <t>Giáo trình quản trị kinh doanh lữ hành, NXB Đại học 
Kinh tế Quốc dân</t>
  </si>
  <si>
    <t xml:space="preserve"> Giáo trình Marketing du lịch, NXB Lao động – Xã hội </t>
  </si>
  <si>
    <t>Giáo trình xã hội học đại cương, NXB Đại học 
Quốc gia Hà Nội , 2016</t>
  </si>
  <si>
    <t>Giáo trình tham vấn tâm lý, NXB Đại học Quốc gia 
Hà Nội</t>
  </si>
  <si>
    <t>Trung tâm Thông tin thư viện</t>
  </si>
  <si>
    <t>Nghiệp vụ lễ tân khách sạn, NXB Lao động – xã hội</t>
  </si>
  <si>
    <t>Giáo trình Chính sách xã hội, NXB Đại học
 Quốc gia Hà Nội, 2019</t>
  </si>
  <si>
    <t>Giáo trình Phương pháp nghiên cứu trong Công tác xã hội, Trường Đại học Lao động, Hà Nội, 2021</t>
  </si>
  <si>
    <t>Giáo trình công tác xã hội cá nhân và gia đình,  NXB Lao động xã hội</t>
  </si>
  <si>
    <t>Giáo trình tham vấn tâm lý, NXB Đại học Quốc gia Hà Nội, 2009 tái bản 2020,</t>
  </si>
  <si>
    <t xml:space="preserve">Tham vấn Trường học, NXB Giáo dục Việt Nam,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</si>
</sst>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 #,##0_-;_-* &quot;-&quot;_-;_-@_-"/>
    <numFmt numFmtId="164" formatCode="_(* #,##0_);_(* \(#,##0\);_(* &quot;-&quot;_);_(@_)"/>
    <numFmt numFmtId="165" formatCode="_(* #,##0.00_);_(* \(#,##0.00\);_(* &quot;-&quot;??_);_(@_)"/>
    <numFmt numFmtId="166" formatCode="_-* #,##0.00\ &quot;₫&quot;_-;\-* #,##0.00\ &quot;₫&quot;_-;_-* &quot;-&quot;??\ &quot;₫&quot;_-;_-@_-"/>
    <numFmt numFmtId="167" formatCode="_(* #,##0_);_(* \(#,##0\);_(* &quot;-&quot;??_);_(@_)"/>
    <numFmt numFmtId="168" formatCode="0.0"/>
    <numFmt numFmtId="169" formatCode="0.000000"/>
    <numFmt numFmtId="170" formatCode="_(* #,##0.0_);_(* \(#,##0.0\);_(* &quot;-&quot;??_);_(@_)"/>
    <numFmt numFmtId="171" formatCode="#,##0.0"/>
    <numFmt numFmtId="172" formatCode="0_);\(0\)"/>
  </numFmts>
  <fonts count="82">
    <font>
      <sz val="11"/>
      <color theme="1"/>
      <name val="Arial"/>
      <family val="2"/>
      <scheme val="minor"/>
    </font>
    <font>
      <sz val="12"/>
      <color theme="1"/>
      <name val="Arial"/>
      <family val="2"/>
      <scheme val="minor"/>
    </font>
    <font>
      <sz val="11"/>
      <color theme="1"/>
      <name val="Arial"/>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b/>
      <i/>
      <sz val="10"/>
      <name val="Times New Roman"/>
      <family val="1"/>
    </font>
    <font>
      <b/>
      <i/>
      <sz val="10"/>
      <name val="Arial"/>
      <family val="2"/>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0"/>
      <color rgb="FFFF0000"/>
      <name val="Arial"/>
      <family val="2"/>
    </font>
    <font>
      <sz val="15"/>
      <color rgb="FFFF0000"/>
      <name val="Times New Roman"/>
      <family val="1"/>
    </font>
    <font>
      <b/>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b/>
      <i/>
      <sz val="12"/>
      <color rgb="FFFF0000"/>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indexed="8"/>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i/>
      <sz val="12"/>
      <color indexed="8"/>
      <name val="Times New Roman"/>
      <family val="1"/>
    </font>
    <font>
      <b/>
      <sz val="16"/>
      <color theme="1"/>
      <name val="Times New Roman"/>
      <family val="1"/>
    </font>
    <font>
      <b/>
      <sz val="14"/>
      <color theme="1"/>
      <name val="Times New Roman"/>
      <family val="1"/>
    </font>
    <font>
      <b/>
      <sz val="11"/>
      <color theme="1"/>
      <name val="Arial"/>
      <family val="2"/>
      <scheme val="minor"/>
    </font>
    <font>
      <i/>
      <sz val="12"/>
      <color rgb="FFFF0000"/>
      <name val="Times New Roman"/>
      <family val="1"/>
    </font>
    <font>
      <b/>
      <sz val="14"/>
      <name val="Times New Roman"/>
      <family val="1"/>
    </font>
    <font>
      <b/>
      <sz val="16"/>
      <name val="Times New Roman"/>
      <family val="1"/>
    </font>
    <font>
      <b/>
      <sz val="13"/>
      <color theme="1"/>
      <name val="Times New Roman"/>
      <family val="1"/>
    </font>
    <font>
      <b/>
      <sz val="11"/>
      <color indexed="8"/>
      <name val="Times New Roman"/>
      <family val="1"/>
    </font>
    <font>
      <b/>
      <i/>
      <sz val="10"/>
      <color rgb="FFFF0000"/>
      <name val="Times New Roman"/>
      <family val="1"/>
    </font>
    <font>
      <b/>
      <sz val="10"/>
      <color rgb="FFFF0000"/>
      <name val="Arial"/>
      <family val="2"/>
    </font>
    <font>
      <sz val="12"/>
      <name val=".VnTime"/>
      <family val="2"/>
    </font>
    <font>
      <b/>
      <sz val="9"/>
      <color rgb="FF000000"/>
      <name val="Tahoma"/>
      <family val="2"/>
    </font>
    <font>
      <sz val="9"/>
      <color rgb="FF000000"/>
      <name val="Tahoma"/>
      <family val="2"/>
    </font>
    <font>
      <sz val="8"/>
      <name val="Arial"/>
      <family val="2"/>
      <scheme val="minor"/>
    </font>
    <font>
      <b/>
      <sz val="10"/>
      <color theme="1"/>
      <name val="Arial"/>
      <family val="2"/>
    </font>
    <font>
      <sz val="10"/>
      <color rgb="FF000000"/>
      <name val="Times New Roman"/>
      <family val="1"/>
    </font>
    <font>
      <sz val="14"/>
      <color theme="1"/>
      <name val="Times New Roman"/>
      <family val="2"/>
    </font>
    <font>
      <sz val="10"/>
      <color rgb="FF000000"/>
      <name val="Tahoma"/>
      <family val="2"/>
    </font>
    <font>
      <b/>
      <sz val="10"/>
      <color rgb="FF000000"/>
      <name val="Tahoma"/>
      <family val="2"/>
    </font>
    <font>
      <sz val="12"/>
      <color theme="1"/>
      <name val="Times New Roman"/>
      <family val="2"/>
    </font>
    <font>
      <sz val="10"/>
      <color theme="1"/>
      <name val="Arial"/>
      <family val="2"/>
    </font>
    <font>
      <b/>
      <i/>
      <sz val="12"/>
      <color theme="1"/>
      <name val="Times New Roman"/>
      <family val="1"/>
    </font>
    <font>
      <b/>
      <i/>
      <sz val="10"/>
      <color theme="1"/>
      <name val="Arial"/>
      <family val="2"/>
    </font>
    <font>
      <i/>
      <sz val="10"/>
      <color theme="1"/>
      <name val="Arial"/>
      <family val="2"/>
    </font>
    <font>
      <sz val="10"/>
      <color theme="0"/>
      <name val="Times New Roman"/>
      <family val="1"/>
    </font>
    <font>
      <b/>
      <sz val="10"/>
      <color theme="0"/>
      <name val="Times New Roman"/>
      <family val="1"/>
    </font>
    <font>
      <sz val="10"/>
      <color theme="0"/>
      <name val="Arial"/>
      <family val="2"/>
    </font>
    <font>
      <b/>
      <i/>
      <sz val="10"/>
      <color theme="0"/>
      <name val="Times New Roman"/>
      <family val="1"/>
    </font>
    <font>
      <b/>
      <sz val="10"/>
      <color theme="0"/>
      <name val="Arial"/>
      <family val="2"/>
    </font>
    <font>
      <b/>
      <i/>
      <sz val="10"/>
      <color theme="0"/>
      <name val="Arial"/>
      <family val="2"/>
    </font>
    <font>
      <i/>
      <sz val="10"/>
      <color theme="0"/>
      <name val="Arial"/>
      <family val="2"/>
    </font>
    <font>
      <i/>
      <sz val="10"/>
      <color theme="0"/>
      <name val="Times New Roman"/>
      <family val="1"/>
    </font>
    <font>
      <sz val="8"/>
      <name val="Times New Roman"/>
      <family val="1"/>
    </font>
    <font>
      <sz val="10"/>
      <color theme="8"/>
      <name val="Times New Roman"/>
      <family val="1"/>
    </font>
    <font>
      <sz val="10"/>
      <color rgb="FF001A33"/>
      <name val="Times New Roman"/>
      <family val="1"/>
      <scheme val="major"/>
    </font>
  </fonts>
  <fills count="12">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indexed="9"/>
        <bgColor indexed="64"/>
      </patternFill>
    </fill>
  </fills>
  <borders count="15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right/>
      <top/>
      <bottom style="double">
        <color indexed="64"/>
      </bottom>
      <diagonal/>
    </border>
    <border>
      <left style="double">
        <color indexed="64"/>
      </left>
      <right style="thin">
        <color indexed="8"/>
      </right>
      <top style="thin">
        <color indexed="8"/>
      </top>
      <bottom style="hair">
        <color indexed="8"/>
      </bottom>
      <diagonal/>
    </border>
    <border>
      <left style="thin">
        <color indexed="8"/>
      </left>
      <right style="thin">
        <color indexed="8"/>
      </right>
      <top style="thin">
        <color indexed="8"/>
      </top>
      <bottom style="hair">
        <color indexed="8"/>
      </bottom>
      <diagonal/>
    </border>
    <border>
      <left style="thin">
        <color indexed="8"/>
      </left>
      <right style="double">
        <color indexed="64"/>
      </right>
      <top style="thin">
        <color indexed="8"/>
      </top>
      <bottom style="hair">
        <color indexed="8"/>
      </bottom>
      <diagonal/>
    </border>
    <border>
      <left style="double">
        <color indexed="64"/>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double">
        <color indexed="64"/>
      </right>
      <top style="hair">
        <color indexed="8"/>
      </top>
      <bottom/>
      <diagonal/>
    </border>
    <border>
      <left/>
      <right/>
      <top style="hair">
        <color indexed="64"/>
      </top>
      <bottom style="hair">
        <color indexed="64"/>
      </bottom>
      <diagonal/>
    </border>
    <border>
      <left style="double">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double">
        <color indexed="64"/>
      </right>
      <top style="thin">
        <color indexed="64"/>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double">
        <color indexed="64"/>
      </right>
      <top style="hair">
        <color indexed="64"/>
      </top>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right style="double">
        <color indexed="64"/>
      </right>
      <top/>
      <bottom style="hair">
        <color indexed="64"/>
      </bottom>
      <diagonal/>
    </border>
    <border>
      <left style="hair">
        <color indexed="64"/>
      </left>
      <right/>
      <top/>
      <bottom style="hair">
        <color indexed="64"/>
      </bottom>
      <diagonal/>
    </border>
    <border>
      <left style="dashed">
        <color indexed="64"/>
      </left>
      <right style="dashed">
        <color indexed="64"/>
      </right>
      <top style="dashed">
        <color indexed="64"/>
      </top>
      <bottom style="dashed">
        <color indexed="64"/>
      </bottom>
      <diagonal/>
    </border>
    <border>
      <left style="thin">
        <color indexed="64"/>
      </left>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style="thin">
        <color indexed="64"/>
      </right>
      <top/>
      <bottom style="dotted">
        <color indexed="64"/>
      </bottom>
      <diagonal/>
    </border>
    <border>
      <left style="thin">
        <color indexed="64"/>
      </left>
      <right/>
      <top style="hair">
        <color indexed="8"/>
      </top>
      <bottom style="hair">
        <color indexed="8"/>
      </bottom>
      <diagonal/>
    </border>
    <border>
      <left/>
      <right style="thin">
        <color indexed="64"/>
      </right>
      <top style="hair">
        <color indexed="8"/>
      </top>
      <bottom style="hair">
        <color indexed="8"/>
      </bottom>
      <diagonal/>
    </border>
    <border>
      <left style="thin">
        <color indexed="64"/>
      </left>
      <right/>
      <top style="hair">
        <color indexed="8"/>
      </top>
      <bottom style="dotted">
        <color indexed="64"/>
      </bottom>
      <diagonal/>
    </border>
    <border>
      <left/>
      <right style="thin">
        <color indexed="64"/>
      </right>
      <top style="hair">
        <color indexed="8"/>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8"/>
      </right>
      <top style="thin">
        <color indexed="8"/>
      </top>
      <bottom style="hair">
        <color indexed="8"/>
      </bottom>
      <diagonal/>
    </border>
    <border>
      <left style="thin">
        <color indexed="8"/>
      </left>
      <right style="medium">
        <color indexed="64"/>
      </right>
      <top style="thin">
        <color indexed="8"/>
      </top>
      <bottom style="hair">
        <color indexed="8"/>
      </bottom>
      <diagonal/>
    </border>
    <border>
      <left style="medium">
        <color indexed="64"/>
      </left>
      <right style="thin">
        <color indexed="8"/>
      </right>
      <top style="hair">
        <color indexed="8"/>
      </top>
      <bottom style="hair">
        <color indexed="8"/>
      </bottom>
      <diagonal/>
    </border>
    <border>
      <left style="thin">
        <color indexed="8"/>
      </left>
      <right style="medium">
        <color indexed="64"/>
      </right>
      <top style="hair">
        <color indexed="8"/>
      </top>
      <bottom style="hair">
        <color indexed="8"/>
      </bottom>
      <diagonal/>
    </border>
    <border>
      <left style="medium">
        <color indexed="64"/>
      </left>
      <right style="thin">
        <color indexed="8"/>
      </right>
      <top/>
      <bottom style="hair">
        <color indexed="8"/>
      </bottom>
      <diagonal/>
    </border>
    <border>
      <left style="thin">
        <color indexed="8"/>
      </left>
      <right style="medium">
        <color indexed="64"/>
      </right>
      <top/>
      <bottom style="hair">
        <color indexed="8"/>
      </bottom>
      <diagonal/>
    </border>
    <border>
      <left style="medium">
        <color indexed="64"/>
      </left>
      <right style="thin">
        <color indexed="8"/>
      </right>
      <top style="hair">
        <color indexed="8"/>
      </top>
      <bottom/>
      <diagonal/>
    </border>
    <border>
      <left style="thin">
        <color indexed="8"/>
      </left>
      <right style="medium">
        <color indexed="64"/>
      </right>
      <top style="hair">
        <color indexed="8"/>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right style="thin">
        <color indexed="8"/>
      </right>
      <top/>
      <bottom style="medium">
        <color indexed="64"/>
      </bottom>
      <diagonal/>
    </border>
    <border>
      <left style="dashed">
        <color indexed="64"/>
      </left>
      <right style="dashed">
        <color indexed="64"/>
      </right>
      <top style="dashed">
        <color indexed="64"/>
      </top>
      <bottom/>
      <diagonal/>
    </border>
    <border>
      <left style="thin">
        <color indexed="64"/>
      </left>
      <right/>
      <top/>
      <bottom style="dashed">
        <color indexed="64"/>
      </bottom>
      <diagonal/>
    </border>
    <border>
      <left/>
      <right style="thin">
        <color indexed="64"/>
      </right>
      <top/>
      <bottom style="dashed">
        <color indexed="64"/>
      </bottom>
      <diagonal/>
    </border>
    <border>
      <left/>
      <right/>
      <top style="thin">
        <color indexed="64"/>
      </top>
      <bottom style="dotted">
        <color indexed="64"/>
      </bottom>
      <diagonal/>
    </border>
    <border>
      <left style="thin">
        <color indexed="64"/>
      </left>
      <right style="thin">
        <color indexed="64"/>
      </right>
      <top style="dotted">
        <color indexed="64"/>
      </top>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bottom/>
      <diagonal/>
    </border>
    <border>
      <left/>
      <right/>
      <top/>
      <bottom style="dashed">
        <color indexed="64"/>
      </bottom>
      <diagonal/>
    </border>
    <border>
      <left/>
      <right/>
      <top style="medium">
        <color indexed="64"/>
      </top>
      <bottom/>
      <diagonal/>
    </border>
    <border>
      <left/>
      <right style="double">
        <color indexed="64"/>
      </right>
      <top style="hair">
        <color indexed="8"/>
      </top>
      <bottom style="hair">
        <color indexed="8"/>
      </bottom>
      <diagonal/>
    </border>
    <border>
      <left style="thin">
        <color indexed="8"/>
      </left>
      <right/>
      <top style="hair">
        <color indexed="8"/>
      </top>
      <bottom/>
      <diagonal/>
    </border>
    <border>
      <left/>
      <right/>
      <top style="hair">
        <color indexed="8"/>
      </top>
      <bottom/>
      <diagonal/>
    </border>
    <border>
      <left/>
      <right style="thin">
        <color indexed="64"/>
      </right>
      <top style="hair">
        <color indexed="8"/>
      </top>
      <bottom/>
      <diagonal/>
    </border>
  </borders>
  <cellStyleXfs count="11">
    <xf numFmtId="0" fontId="0" fillId="0" borderId="0"/>
    <xf numFmtId="165" fontId="2" fillId="0" borderId="0" applyFont="0" applyFill="0" applyBorder="0" applyAlignment="0" applyProtection="0"/>
    <xf numFmtId="165" fontId="7" fillId="0" borderId="0" applyFont="0" applyFill="0" applyBorder="0" applyAlignment="0" applyProtection="0"/>
    <xf numFmtId="0" fontId="27" fillId="0" borderId="0" applyAlignment="0">
      <alignment vertical="top" wrapText="1"/>
      <protection locked="0"/>
    </xf>
    <xf numFmtId="0" fontId="27" fillId="0" borderId="0" applyAlignment="0">
      <alignment vertical="top" wrapText="1"/>
      <protection locked="0"/>
    </xf>
    <xf numFmtId="0" fontId="27" fillId="0" borderId="0" applyAlignment="0">
      <alignment vertical="top" wrapText="1"/>
      <protection locked="0"/>
    </xf>
    <xf numFmtId="0" fontId="2" fillId="0" borderId="0"/>
    <xf numFmtId="0" fontId="7" fillId="0" borderId="0"/>
    <xf numFmtId="41" fontId="2" fillId="0" borderId="0" applyFont="0" applyFill="0" applyBorder="0" applyAlignment="0" applyProtection="0"/>
    <xf numFmtId="166" fontId="2" fillId="0" borderId="0" applyFont="0" applyFill="0" applyBorder="0" applyAlignment="0" applyProtection="0"/>
    <xf numFmtId="0" fontId="63" fillId="0" borderId="0"/>
  </cellStyleXfs>
  <cellXfs count="1560">
    <xf numFmtId="0" fontId="0" fillId="0" borderId="0" xfId="0"/>
    <xf numFmtId="0" fontId="4" fillId="0" borderId="0" xfId="0" applyFont="1" applyAlignment="1">
      <alignment wrapText="1"/>
    </xf>
    <xf numFmtId="0" fontId="4" fillId="0" borderId="0" xfId="0" applyFont="1"/>
    <xf numFmtId="0" fontId="6" fillId="0" borderId="0" xfId="0" applyFont="1"/>
    <xf numFmtId="0" fontId="6" fillId="0" borderId="0" xfId="0" applyFont="1" applyAlignment="1">
      <alignment horizontal="right"/>
    </xf>
    <xf numFmtId="167" fontId="5" fillId="0" borderId="1" xfId="1" applyNumberFormat="1" applyFont="1" applyBorder="1" applyAlignment="1">
      <alignment horizontal="center" vertical="center" wrapText="1"/>
    </xf>
    <xf numFmtId="167" fontId="5" fillId="0" borderId="2" xfId="1" applyNumberFormat="1" applyFont="1" applyBorder="1" applyAlignment="1">
      <alignment horizontal="center" vertical="center" wrapText="1"/>
    </xf>
    <xf numFmtId="167" fontId="5" fillId="0" borderId="3" xfId="1" applyNumberFormat="1" applyFont="1" applyBorder="1" applyAlignment="1">
      <alignment horizontal="center" vertical="center" wrapText="1"/>
    </xf>
    <xf numFmtId="0" fontId="4" fillId="0" borderId="10" xfId="0" applyFont="1" applyBorder="1" applyAlignment="1">
      <alignment horizontal="center" vertical="center" wrapText="1"/>
    </xf>
    <xf numFmtId="0" fontId="8" fillId="0" borderId="5" xfId="0" applyFont="1" applyBorder="1" applyAlignment="1">
      <alignment horizontal="left" vertical="center" wrapText="1"/>
    </xf>
    <xf numFmtId="0" fontId="4" fillId="0" borderId="5" xfId="0" applyFont="1" applyBorder="1" applyAlignment="1">
      <alignment horizontal="center" vertical="center" wrapText="1"/>
    </xf>
    <xf numFmtId="165" fontId="4" fillId="0" borderId="5" xfId="1" applyFont="1" applyBorder="1" applyAlignment="1">
      <alignment horizontal="center" vertical="center" wrapText="1"/>
    </xf>
    <xf numFmtId="0" fontId="4" fillId="0" borderId="11" xfId="0" applyFont="1" applyBorder="1" applyAlignment="1">
      <alignment vertical="center"/>
    </xf>
    <xf numFmtId="0" fontId="4" fillId="0" borderId="5" xfId="0" applyFont="1" applyBorder="1" applyAlignment="1">
      <alignment horizontal="left" vertical="center" wrapText="1"/>
    </xf>
    <xf numFmtId="0" fontId="8" fillId="0" borderId="10" xfId="0" applyFont="1" applyBorder="1" applyAlignment="1">
      <alignment horizontal="center" vertical="center" wrapText="1"/>
    </xf>
    <xf numFmtId="0" fontId="8" fillId="0" borderId="5" xfId="0" quotePrefix="1" applyFont="1" applyBorder="1" applyAlignment="1">
      <alignment horizontal="left" vertical="center" wrapText="1"/>
    </xf>
    <xf numFmtId="0" fontId="8" fillId="0" borderId="5" xfId="0" applyFont="1" applyBorder="1" applyAlignment="1">
      <alignment horizontal="center" vertical="center" wrapText="1"/>
    </xf>
    <xf numFmtId="165" fontId="8" fillId="0" borderId="5" xfId="1" applyFont="1" applyBorder="1" applyAlignment="1">
      <alignment horizontal="center" vertical="center" wrapText="1"/>
    </xf>
    <xf numFmtId="0" fontId="8" fillId="0" borderId="11" xfId="0" applyFont="1" applyBorder="1" applyAlignment="1">
      <alignment vertical="center"/>
    </xf>
    <xf numFmtId="0" fontId="4" fillId="0" borderId="0" xfId="0" applyFont="1" applyAlignment="1">
      <alignment horizontal="center"/>
    </xf>
    <xf numFmtId="0" fontId="4" fillId="3" borderId="0" xfId="0" applyFont="1" applyFill="1" applyAlignment="1">
      <alignment horizontal="center"/>
    </xf>
    <xf numFmtId="0" fontId="5" fillId="3" borderId="0" xfId="0" applyFont="1" applyFill="1" applyAlignment="1">
      <alignment wrapText="1"/>
    </xf>
    <xf numFmtId="0" fontId="4" fillId="3" borderId="0" xfId="0" applyFont="1" applyFill="1" applyAlignment="1">
      <alignment wrapText="1"/>
    </xf>
    <xf numFmtId="0" fontId="4" fillId="3" borderId="0" xfId="0" applyFont="1" applyFill="1" applyAlignment="1">
      <alignment horizontal="left" wrapText="1"/>
    </xf>
    <xf numFmtId="0" fontId="11" fillId="0" borderId="0" xfId="0" applyFont="1"/>
    <xf numFmtId="0" fontId="11" fillId="0" borderId="0" xfId="0" applyFont="1" applyAlignment="1">
      <alignment vertical="top"/>
    </xf>
    <xf numFmtId="0" fontId="15" fillId="3" borderId="0" xfId="0" applyFont="1" applyFill="1" applyAlignment="1">
      <alignment wrapText="1"/>
    </xf>
    <xf numFmtId="0" fontId="16" fillId="2" borderId="0" xfId="0" applyFont="1" applyFill="1"/>
    <xf numFmtId="0" fontId="16" fillId="2" borderId="0" xfId="0" applyFont="1" applyFill="1" applyAlignment="1">
      <alignment wrapText="1"/>
    </xf>
    <xf numFmtId="0" fontId="11" fillId="0" borderId="0" xfId="0" applyFont="1" applyAlignment="1">
      <alignment horizontal="center"/>
    </xf>
    <xf numFmtId="0" fontId="11" fillId="0" borderId="0" xfId="0" applyFont="1" applyAlignment="1">
      <alignment wrapText="1"/>
    </xf>
    <xf numFmtId="0" fontId="0" fillId="0" borderId="0" xfId="0" applyAlignment="1">
      <alignment horizontal="center"/>
    </xf>
    <xf numFmtId="0" fontId="0" fillId="0" borderId="0" xfId="0" applyAlignment="1">
      <alignment wrapText="1"/>
    </xf>
    <xf numFmtId="0" fontId="19" fillId="3" borderId="0" xfId="0" applyFont="1" applyFill="1"/>
    <xf numFmtId="0" fontId="19" fillId="3" borderId="0" xfId="0" applyFont="1" applyFill="1" applyAlignment="1">
      <alignment wrapText="1"/>
    </xf>
    <xf numFmtId="0" fontId="5" fillId="4" borderId="7" xfId="0" applyFont="1" applyFill="1" applyBorder="1" applyAlignment="1">
      <alignment horizontal="center" vertical="top" wrapText="1"/>
    </xf>
    <xf numFmtId="0" fontId="5" fillId="4" borderId="8" xfId="0" applyFont="1" applyFill="1" applyBorder="1" applyAlignment="1">
      <alignment horizontal="justify" vertical="top" wrapText="1"/>
    </xf>
    <xf numFmtId="0" fontId="5" fillId="4" borderId="8" xfId="0" applyFont="1" applyFill="1" applyBorder="1" applyAlignment="1">
      <alignment horizontal="center" vertical="top" wrapText="1"/>
    </xf>
    <xf numFmtId="165" fontId="5" fillId="4" borderId="8" xfId="1" applyFont="1" applyFill="1" applyBorder="1" applyAlignment="1">
      <alignment horizontal="center" vertical="top" wrapText="1"/>
    </xf>
    <xf numFmtId="165" fontId="5" fillId="4" borderId="5" xfId="1" applyFont="1" applyFill="1" applyBorder="1" applyAlignment="1">
      <alignment horizontal="center" vertical="center" wrapText="1"/>
    </xf>
    <xf numFmtId="0" fontId="5" fillId="4" borderId="9" xfId="0" applyFont="1" applyFill="1" applyBorder="1" applyAlignment="1">
      <alignment vertical="top"/>
    </xf>
    <xf numFmtId="0" fontId="5" fillId="0" borderId="0" xfId="0" applyFont="1" applyAlignment="1">
      <alignment wrapText="1"/>
    </xf>
    <xf numFmtId="0" fontId="6" fillId="0" borderId="0" xfId="0" applyFont="1" applyAlignment="1">
      <alignment horizontal="center"/>
    </xf>
    <xf numFmtId="49" fontId="4" fillId="0" borderId="0" xfId="0" applyNumberFormat="1" applyFont="1" applyAlignment="1">
      <alignment horizontal="center"/>
    </xf>
    <xf numFmtId="0" fontId="5" fillId="0" borderId="0" xfId="0" applyFont="1" applyAlignment="1">
      <alignment vertical="top"/>
    </xf>
    <xf numFmtId="0" fontId="9" fillId="0" borderId="0" xfId="0" applyFont="1" applyAlignment="1">
      <alignment vertical="top"/>
    </xf>
    <xf numFmtId="0" fontId="23" fillId="0" borderId="0" xfId="0" applyFont="1" applyAlignment="1">
      <alignment vertical="top"/>
    </xf>
    <xf numFmtId="0" fontId="4" fillId="0" borderId="0" xfId="0" applyFont="1" applyAlignment="1">
      <alignment vertical="top"/>
    </xf>
    <xf numFmtId="0" fontId="7" fillId="0" borderId="0" xfId="0" applyFont="1" applyAlignment="1">
      <alignment vertical="top"/>
    </xf>
    <xf numFmtId="0" fontId="4" fillId="0" borderId="0" xfId="0" quotePrefix="1" applyFont="1" applyAlignment="1">
      <alignment horizontal="left"/>
    </xf>
    <xf numFmtId="169" fontId="4" fillId="0" borderId="0" xfId="0" applyNumberFormat="1" applyFont="1" applyAlignment="1">
      <alignment wrapText="1"/>
    </xf>
    <xf numFmtId="0" fontId="4" fillId="0" borderId="0" xfId="0" quotePrefix="1" applyFont="1"/>
    <xf numFmtId="0" fontId="20" fillId="0" borderId="0" xfId="0" applyFont="1" applyAlignment="1">
      <alignment horizontal="center" vertical="center"/>
    </xf>
    <xf numFmtId="0" fontId="0" fillId="0" borderId="0" xfId="0" applyAlignment="1">
      <alignment vertical="center"/>
    </xf>
    <xf numFmtId="0" fontId="20" fillId="0" borderId="0" xfId="0" applyFont="1" applyAlignment="1">
      <alignment horizontal="right"/>
    </xf>
    <xf numFmtId="49" fontId="5" fillId="0" borderId="21" xfId="2" quotePrefix="1" applyNumberFormat="1" applyFont="1" applyFill="1" applyBorder="1" applyAlignment="1">
      <alignment horizontal="center" vertical="center" wrapText="1"/>
    </xf>
    <xf numFmtId="49" fontId="5" fillId="0" borderId="21" xfId="2" applyNumberFormat="1" applyFont="1" applyFill="1" applyBorder="1" applyAlignment="1">
      <alignment horizontal="center" vertical="center" wrapText="1"/>
    </xf>
    <xf numFmtId="49" fontId="22" fillId="0" borderId="21" xfId="2" quotePrefix="1" applyNumberFormat="1" applyFont="1" applyFill="1" applyBorder="1" applyAlignment="1">
      <alignment horizontal="center" vertical="center" wrapText="1"/>
    </xf>
    <xf numFmtId="0" fontId="0" fillId="0" borderId="44" xfId="0" applyBorder="1"/>
    <xf numFmtId="0" fontId="5" fillId="0" borderId="7" xfId="0" applyFont="1" applyBorder="1" applyAlignment="1">
      <alignment horizontal="center" vertical="center" wrapText="1"/>
    </xf>
    <xf numFmtId="0" fontId="5" fillId="0" borderId="8" xfId="0" applyFont="1" applyBorder="1" applyAlignment="1">
      <alignment horizontal="justify" vertical="center" wrapText="1"/>
    </xf>
    <xf numFmtId="0" fontId="5" fillId="0" borderId="8" xfId="0" applyFont="1" applyBorder="1" applyAlignment="1">
      <alignment horizontal="center" vertical="center" wrapText="1"/>
    </xf>
    <xf numFmtId="0" fontId="5" fillId="0" borderId="9" xfId="0" applyFont="1" applyBorder="1" applyAlignment="1">
      <alignment vertical="center"/>
    </xf>
    <xf numFmtId="0" fontId="4" fillId="0" borderId="7" xfId="0" applyFont="1" applyBorder="1" applyAlignment="1">
      <alignment horizontal="center" vertical="center" wrapText="1"/>
    </xf>
    <xf numFmtId="0" fontId="4" fillId="0" borderId="8" xfId="0" applyFont="1" applyBorder="1" applyAlignment="1">
      <alignment horizontal="justify" vertical="center" wrapText="1"/>
    </xf>
    <xf numFmtId="0" fontId="4" fillId="0" borderId="8" xfId="0" applyFont="1" applyBorder="1" applyAlignment="1">
      <alignment horizontal="center" vertical="center" wrapText="1"/>
    </xf>
    <xf numFmtId="0" fontId="4" fillId="0" borderId="9" xfId="0" applyFont="1" applyBorder="1" applyAlignment="1">
      <alignment vertical="center"/>
    </xf>
    <xf numFmtId="0" fontId="4" fillId="0" borderId="46" xfId="0" applyFont="1" applyBorder="1" applyAlignment="1">
      <alignment horizontal="center" vertical="center" wrapText="1"/>
    </xf>
    <xf numFmtId="0" fontId="4" fillId="0" borderId="47" xfId="0" applyFont="1" applyBorder="1" applyAlignment="1">
      <alignment vertical="center"/>
    </xf>
    <xf numFmtId="0" fontId="5" fillId="0" borderId="0" xfId="0" applyFont="1"/>
    <xf numFmtId="0" fontId="3"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center" wrapText="1"/>
    </xf>
    <xf numFmtId="0" fontId="20" fillId="0" borderId="0" xfId="0" applyFont="1" applyAlignment="1">
      <alignment horizontal="right" vertical="center" wrapText="1"/>
    </xf>
    <xf numFmtId="0" fontId="31" fillId="0" borderId="48" xfId="0" applyFont="1" applyBorder="1" applyAlignment="1">
      <alignment vertical="center"/>
    </xf>
    <xf numFmtId="0" fontId="32" fillId="0" borderId="48" xfId="0" applyFont="1" applyBorder="1" applyAlignment="1">
      <alignment horizontal="right" vertical="center"/>
    </xf>
    <xf numFmtId="0" fontId="9" fillId="0" borderId="49" xfId="0" applyFont="1" applyBorder="1" applyAlignment="1">
      <alignment horizontal="center" vertical="center"/>
    </xf>
    <xf numFmtId="0" fontId="9" fillId="0" borderId="50" xfId="0" applyFont="1" applyBorder="1" applyAlignment="1">
      <alignment horizontal="left"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5" fillId="0" borderId="10" xfId="0" applyFont="1" applyBorder="1" applyAlignment="1">
      <alignment horizontal="center" vertical="center" wrapText="1"/>
    </xf>
    <xf numFmtId="0" fontId="5" fillId="0" borderId="5" xfId="0" applyFont="1" applyBorder="1" applyAlignment="1">
      <alignment horizontal="justify" vertical="center" wrapText="1"/>
    </xf>
    <xf numFmtId="0" fontId="5" fillId="0" borderId="5" xfId="0" applyFont="1" applyBorder="1" applyAlignment="1">
      <alignment horizontal="center" vertical="center" wrapText="1"/>
    </xf>
    <xf numFmtId="0" fontId="5" fillId="0" borderId="11" xfId="0" applyFont="1" applyBorder="1" applyAlignment="1">
      <alignment vertical="center"/>
    </xf>
    <xf numFmtId="0" fontId="5" fillId="0" borderId="10" xfId="0" applyFont="1" applyBorder="1" applyAlignment="1">
      <alignment horizontal="right" vertical="center" wrapText="1"/>
    </xf>
    <xf numFmtId="0" fontId="4" fillId="0" borderId="52" xfId="0" applyFont="1" applyBorder="1" applyAlignment="1">
      <alignment horizontal="right" vertical="center" wrapText="1"/>
    </xf>
    <xf numFmtId="0" fontId="4" fillId="0" borderId="53" xfId="0" applyFont="1" applyBorder="1" applyAlignment="1">
      <alignment horizontal="justify" vertical="center" wrapText="1"/>
    </xf>
    <xf numFmtId="0" fontId="4" fillId="0" borderId="53" xfId="0" applyFont="1" applyBorder="1" applyAlignment="1">
      <alignment horizontal="center" vertical="center" wrapText="1"/>
    </xf>
    <xf numFmtId="0" fontId="4" fillId="0" borderId="54" xfId="0" applyFont="1" applyBorder="1" applyAlignment="1">
      <alignment vertical="center"/>
    </xf>
    <xf numFmtId="0" fontId="4" fillId="0" borderId="46" xfId="0" applyFont="1" applyBorder="1" applyAlignment="1">
      <alignment horizontal="justify" vertical="center" wrapText="1"/>
    </xf>
    <xf numFmtId="0" fontId="4" fillId="0" borderId="0" xfId="0" applyFont="1" applyAlignment="1">
      <alignment horizontal="center" vertical="center"/>
    </xf>
    <xf numFmtId="0" fontId="4"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wrapText="1"/>
    </xf>
    <xf numFmtId="0" fontId="3" fillId="0" borderId="0" xfId="0" quotePrefix="1" applyFont="1" applyAlignment="1">
      <alignment horizontal="left"/>
    </xf>
    <xf numFmtId="0" fontId="33" fillId="0" borderId="0" xfId="0" applyFont="1" applyAlignment="1">
      <alignment horizontal="right" vertical="center"/>
    </xf>
    <xf numFmtId="0" fontId="4"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wrapText="1"/>
    </xf>
    <xf numFmtId="0" fontId="11" fillId="0" borderId="0" xfId="0" applyFont="1" applyAlignment="1">
      <alignment vertical="center"/>
    </xf>
    <xf numFmtId="0" fontId="20"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right" vertical="center"/>
    </xf>
    <xf numFmtId="0" fontId="20" fillId="0" borderId="0" xfId="0" applyFont="1" applyAlignment="1">
      <alignment horizontal="right" vertical="center"/>
    </xf>
    <xf numFmtId="167" fontId="35" fillId="0" borderId="1" xfId="2" applyNumberFormat="1" applyFont="1" applyBorder="1" applyAlignment="1">
      <alignment horizontal="center" vertical="center" wrapText="1"/>
    </xf>
    <xf numFmtId="167" fontId="35" fillId="0" borderId="2" xfId="2" applyNumberFormat="1" applyFont="1" applyBorder="1" applyAlignment="1">
      <alignment horizontal="center" vertical="center" wrapText="1"/>
    </xf>
    <xf numFmtId="167" fontId="29" fillId="0" borderId="2" xfId="2" applyNumberFormat="1" applyFont="1" applyBorder="1" applyAlignment="1">
      <alignment horizontal="center" vertical="center" wrapText="1"/>
    </xf>
    <xf numFmtId="167" fontId="29" fillId="0" borderId="3" xfId="2" applyNumberFormat="1" applyFont="1" applyBorder="1" applyAlignment="1">
      <alignment horizontal="center" vertical="center" wrapText="1"/>
    </xf>
    <xf numFmtId="0" fontId="14" fillId="0" borderId="0" xfId="0" applyFont="1" applyAlignment="1">
      <alignment horizontal="center" vertical="center"/>
    </xf>
    <xf numFmtId="0" fontId="14" fillId="0" borderId="0" xfId="0" applyFont="1" applyAlignment="1">
      <alignment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xf>
    <xf numFmtId="0" fontId="20" fillId="0" borderId="28" xfId="0" applyFont="1" applyBorder="1" applyAlignment="1">
      <alignment horizontal="center" vertical="center"/>
    </xf>
    <xf numFmtId="0" fontId="20" fillId="0" borderId="30" xfId="0" applyFont="1" applyBorder="1" applyAlignment="1">
      <alignment vertical="center"/>
    </xf>
    <xf numFmtId="0" fontId="14" fillId="0" borderId="30" xfId="0" applyFont="1" applyBorder="1" applyAlignment="1">
      <alignment horizontal="center" vertical="center"/>
    </xf>
    <xf numFmtId="0" fontId="20" fillId="0" borderId="31" xfId="0" applyFont="1" applyBorder="1" applyAlignment="1">
      <alignment vertical="center"/>
    </xf>
    <xf numFmtId="0" fontId="20" fillId="0" borderId="0" xfId="0" applyFont="1" applyAlignment="1">
      <alignment vertical="center"/>
    </xf>
    <xf numFmtId="0" fontId="14" fillId="0" borderId="28" xfId="0" applyFont="1" applyBorder="1" applyAlignment="1">
      <alignment horizontal="center" vertical="center"/>
    </xf>
    <xf numFmtId="0" fontId="14" fillId="0" borderId="29" xfId="0" applyFont="1" applyBorder="1" applyAlignment="1">
      <alignment vertical="center" wrapText="1"/>
    </xf>
    <xf numFmtId="0" fontId="14" fillId="0" borderId="30" xfId="0" applyFont="1" applyBorder="1" applyAlignment="1">
      <alignment horizontal="center" vertical="center" wrapText="1"/>
    </xf>
    <xf numFmtId="0" fontId="14" fillId="0" borderId="30" xfId="0" applyFont="1" applyBorder="1" applyAlignment="1">
      <alignment vertical="center"/>
    </xf>
    <xf numFmtId="0" fontId="14" fillId="0" borderId="31" xfId="0" applyFont="1" applyBorder="1" applyAlignment="1">
      <alignment vertical="center"/>
    </xf>
    <xf numFmtId="0" fontId="14" fillId="0" borderId="30" xfId="0" applyFont="1" applyBorder="1" applyAlignment="1">
      <alignment vertical="center" wrapText="1"/>
    </xf>
    <xf numFmtId="0" fontId="20" fillId="0" borderId="30" xfId="0" applyFont="1" applyBorder="1" applyAlignment="1">
      <alignment vertical="center" wrapText="1"/>
    </xf>
    <xf numFmtId="3" fontId="14" fillId="0" borderId="30" xfId="0" applyNumberFormat="1" applyFont="1" applyBorder="1" applyAlignment="1">
      <alignment horizontal="center" vertical="center"/>
    </xf>
    <xf numFmtId="0" fontId="14" fillId="0" borderId="28" xfId="0" quotePrefix="1" applyFont="1" applyBorder="1" applyAlignment="1">
      <alignment horizontal="center" vertical="center"/>
    </xf>
    <xf numFmtId="0" fontId="14" fillId="0" borderId="37" xfId="0" quotePrefix="1" applyFont="1" applyBorder="1" applyAlignment="1">
      <alignment horizontal="center" vertical="center"/>
    </xf>
    <xf numFmtId="0" fontId="20" fillId="0" borderId="38" xfId="0" applyFont="1" applyBorder="1" applyAlignment="1">
      <alignment vertical="center"/>
    </xf>
    <xf numFmtId="0" fontId="14" fillId="0" borderId="38" xfId="0" applyFont="1" applyBorder="1" applyAlignment="1">
      <alignment vertical="center"/>
    </xf>
    <xf numFmtId="0" fontId="14" fillId="0" borderId="38" xfId="0" applyFont="1" applyBorder="1" applyAlignment="1">
      <alignment horizontal="center" vertical="center"/>
    </xf>
    <xf numFmtId="0" fontId="14" fillId="0" borderId="39" xfId="0" applyFont="1" applyBorder="1" applyAlignment="1">
      <alignment vertical="center"/>
    </xf>
    <xf numFmtId="0" fontId="38" fillId="0" borderId="0" xfId="0" applyFont="1" applyAlignment="1">
      <alignment vertical="center"/>
    </xf>
    <xf numFmtId="0" fontId="39" fillId="0" borderId="0" xfId="0" applyFont="1" applyAlignment="1">
      <alignment vertical="center"/>
    </xf>
    <xf numFmtId="0" fontId="20" fillId="0" borderId="34" xfId="0" quotePrefix="1" applyFont="1" applyBorder="1" applyAlignment="1">
      <alignment horizontal="center" vertical="center"/>
    </xf>
    <xf numFmtId="0" fontId="20" fillId="0" borderId="18" xfId="0" quotePrefix="1" applyFont="1" applyBorder="1" applyAlignment="1">
      <alignment horizontal="center" vertical="center"/>
    </xf>
    <xf numFmtId="0" fontId="20" fillId="0" borderId="18" xfId="0" quotePrefix="1" applyFont="1" applyBorder="1" applyAlignment="1">
      <alignment horizontal="center" vertical="center" wrapText="1"/>
    </xf>
    <xf numFmtId="0" fontId="20" fillId="0" borderId="43" xfId="0" quotePrefix="1" applyFont="1" applyBorder="1" applyAlignment="1">
      <alignment horizontal="center" vertical="center"/>
    </xf>
    <xf numFmtId="0" fontId="20" fillId="0" borderId="23" xfId="0" applyFont="1" applyBorder="1" applyAlignment="1">
      <alignment vertical="center"/>
    </xf>
    <xf numFmtId="0" fontId="20" fillId="0" borderId="4" xfId="0" applyFont="1" applyBorder="1" applyAlignment="1">
      <alignment vertical="center"/>
    </xf>
    <xf numFmtId="0" fontId="14" fillId="0" borderId="4" xfId="0" applyFont="1" applyBorder="1" applyAlignment="1">
      <alignment horizontal="center" vertical="center"/>
    </xf>
    <xf numFmtId="0" fontId="20" fillId="0" borderId="6" xfId="0" applyFont="1" applyBorder="1" applyAlignment="1">
      <alignment vertical="center"/>
    </xf>
    <xf numFmtId="0" fontId="20" fillId="0" borderId="33" xfId="0" applyFont="1" applyBorder="1" applyAlignment="1">
      <alignment vertical="center"/>
    </xf>
    <xf numFmtId="0" fontId="14" fillId="0" borderId="33" xfId="0" applyFont="1" applyBorder="1" applyAlignment="1">
      <alignment horizontal="center" vertical="center"/>
    </xf>
    <xf numFmtId="0" fontId="14" fillId="0" borderId="33" xfId="0" applyFont="1" applyBorder="1" applyAlignment="1">
      <alignment vertical="center"/>
    </xf>
    <xf numFmtId="0" fontId="14" fillId="0" borderId="36" xfId="0" applyFont="1" applyBorder="1" applyAlignment="1">
      <alignment vertical="center"/>
    </xf>
    <xf numFmtId="3" fontId="34" fillId="0" borderId="0" xfId="6" applyNumberFormat="1" applyFont="1" applyAlignment="1">
      <alignment wrapText="1"/>
    </xf>
    <xf numFmtId="0" fontId="39" fillId="0" borderId="0" xfId="6" applyFont="1" applyAlignment="1">
      <alignment horizontal="right"/>
    </xf>
    <xf numFmtId="0" fontId="34" fillId="0" borderId="0" xfId="6" applyFont="1" applyAlignment="1">
      <alignment wrapText="1"/>
    </xf>
    <xf numFmtId="0" fontId="41" fillId="0" borderId="0" xfId="6" applyFont="1" applyAlignment="1">
      <alignment horizontal="right" wrapText="1"/>
    </xf>
    <xf numFmtId="0" fontId="41" fillId="0" borderId="0" xfId="6" applyFont="1" applyAlignment="1">
      <alignment horizontal="right"/>
    </xf>
    <xf numFmtId="0" fontId="33" fillId="0" borderId="21" xfId="6" applyFont="1" applyBorder="1" applyAlignment="1">
      <alignment horizontal="center" vertical="center" wrapText="1"/>
    </xf>
    <xf numFmtId="3" fontId="33" fillId="0" borderId="21" xfId="6" applyNumberFormat="1" applyFont="1" applyBorder="1" applyAlignment="1">
      <alignment horizontal="center" vertical="center" wrapText="1"/>
    </xf>
    <xf numFmtId="0" fontId="33" fillId="0" borderId="0" xfId="6" applyFont="1" applyAlignment="1">
      <alignment wrapText="1"/>
    </xf>
    <xf numFmtId="0" fontId="34" fillId="0" borderId="21" xfId="0" applyFont="1" applyBorder="1" applyAlignment="1">
      <alignment horizontal="center" wrapText="1"/>
    </xf>
    <xf numFmtId="0" fontId="34" fillId="3" borderId="21" xfId="0" applyFont="1" applyFill="1" applyBorder="1" applyAlignment="1">
      <alignment wrapText="1"/>
    </xf>
    <xf numFmtId="3" fontId="34" fillId="3" borderId="21" xfId="0" applyNumberFormat="1" applyFont="1" applyFill="1" applyBorder="1" applyAlignment="1">
      <alignment wrapText="1"/>
    </xf>
    <xf numFmtId="0" fontId="34" fillId="0" borderId="21" xfId="0" applyFont="1" applyBorder="1" applyAlignment="1">
      <alignment wrapText="1"/>
    </xf>
    <xf numFmtId="3" fontId="34" fillId="0" borderId="21" xfId="6" applyNumberFormat="1" applyFont="1" applyBorder="1" applyAlignment="1">
      <alignment wrapText="1"/>
    </xf>
    <xf numFmtId="3" fontId="34" fillId="0" borderId="21" xfId="0" applyNumberFormat="1" applyFont="1" applyBorder="1" applyAlignment="1">
      <alignment wrapText="1"/>
    </xf>
    <xf numFmtId="0" fontId="33" fillId="0" borderId="21" xfId="0" applyFont="1" applyBorder="1" applyAlignment="1">
      <alignment horizontal="center" wrapText="1"/>
    </xf>
    <xf numFmtId="3" fontId="33" fillId="0" borderId="21" xfId="0" applyNumberFormat="1" applyFont="1" applyBorder="1" applyAlignment="1">
      <alignment wrapText="1"/>
    </xf>
    <xf numFmtId="0" fontId="33" fillId="0" borderId="21" xfId="0" applyFont="1" applyBorder="1" applyAlignment="1">
      <alignment wrapText="1"/>
    </xf>
    <xf numFmtId="0" fontId="34" fillId="0" borderId="0" xfId="6" applyFont="1" applyAlignment="1">
      <alignment horizontal="center" wrapText="1"/>
    </xf>
    <xf numFmtId="0" fontId="42" fillId="0" borderId="0" xfId="0" applyFont="1" applyAlignment="1">
      <alignment vertical="center"/>
    </xf>
    <xf numFmtId="0" fontId="42" fillId="0" borderId="0" xfId="0" applyFont="1" applyAlignment="1">
      <alignment vertical="center" wrapText="1"/>
    </xf>
    <xf numFmtId="0" fontId="43" fillId="0" borderId="0" xfId="0" applyFont="1" applyAlignment="1">
      <alignment vertical="center"/>
    </xf>
    <xf numFmtId="0" fontId="33" fillId="0" borderId="21" xfId="0" applyFont="1" applyBorder="1" applyAlignment="1">
      <alignment horizontal="center" vertical="center" wrapText="1"/>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2" xfId="0" applyFont="1" applyBorder="1" applyAlignment="1">
      <alignment horizontal="center" vertical="center" wrapText="1"/>
    </xf>
    <xf numFmtId="0" fontId="33" fillId="0" borderId="3" xfId="0" applyFont="1" applyBorder="1" applyAlignment="1">
      <alignment horizontal="center" vertical="center"/>
    </xf>
    <xf numFmtId="0" fontId="33" fillId="0" borderId="0" xfId="0" applyFont="1" applyAlignment="1">
      <alignment horizontal="center" vertical="center"/>
    </xf>
    <xf numFmtId="0" fontId="33" fillId="0" borderId="23" xfId="0" applyFont="1" applyBorder="1" applyAlignment="1">
      <alignment vertical="center"/>
    </xf>
    <xf numFmtId="0" fontId="33" fillId="0" borderId="4" xfId="0" applyFont="1" applyBorder="1" applyAlignment="1">
      <alignment vertical="center"/>
    </xf>
    <xf numFmtId="0" fontId="33" fillId="0" borderId="6" xfId="0" applyFont="1" applyBorder="1" applyAlignment="1">
      <alignment vertical="center"/>
    </xf>
    <xf numFmtId="0" fontId="33" fillId="0" borderId="0" xfId="0" applyFont="1" applyAlignment="1">
      <alignment vertical="center"/>
    </xf>
    <xf numFmtId="0" fontId="33" fillId="0" borderId="21" xfId="0" applyFont="1" applyBorder="1" applyAlignment="1">
      <alignment vertical="center" wrapText="1"/>
    </xf>
    <xf numFmtId="0" fontId="34" fillId="0" borderId="31" xfId="0" applyFont="1" applyBorder="1" applyAlignment="1">
      <alignment vertical="center"/>
    </xf>
    <xf numFmtId="0" fontId="14" fillId="0" borderId="21" xfId="0" applyFont="1" applyBorder="1" applyAlignment="1">
      <alignment vertical="center" wrapText="1"/>
    </xf>
    <xf numFmtId="0" fontId="34" fillId="0" borderId="26" xfId="0" applyFont="1" applyBorder="1" applyAlignment="1">
      <alignment vertical="center"/>
    </xf>
    <xf numFmtId="0" fontId="34" fillId="0" borderId="30" xfId="0" applyFont="1" applyBorder="1" applyAlignment="1">
      <alignment vertical="center"/>
    </xf>
    <xf numFmtId="0" fontId="34" fillId="0" borderId="21" xfId="0" applyFont="1" applyBorder="1" applyAlignment="1">
      <alignment vertical="center" wrapText="1"/>
    </xf>
    <xf numFmtId="0" fontId="34" fillId="0" borderId="36" xfId="0" applyFont="1" applyBorder="1" applyAlignment="1">
      <alignment vertical="center"/>
    </xf>
    <xf numFmtId="0" fontId="34" fillId="0" borderId="33" xfId="0" applyFont="1" applyBorder="1" applyAlignment="1">
      <alignment vertical="center" wrapText="1"/>
    </xf>
    <xf numFmtId="0" fontId="39" fillId="0" borderId="21" xfId="0" applyFont="1" applyBorder="1" applyAlignment="1">
      <alignment vertical="center" wrapText="1"/>
    </xf>
    <xf numFmtId="0" fontId="14" fillId="0" borderId="32" xfId="0" quotePrefix="1" applyFont="1" applyBorder="1" applyAlignment="1">
      <alignment horizontal="center" vertical="center"/>
    </xf>
    <xf numFmtId="0" fontId="20" fillId="0" borderId="32" xfId="0" quotePrefix="1" applyFont="1" applyBorder="1" applyAlignment="1">
      <alignment horizontal="center" vertical="center"/>
    </xf>
    <xf numFmtId="0" fontId="34" fillId="0" borderId="39" xfId="0" applyFont="1" applyBorder="1" applyAlignment="1">
      <alignment vertical="center"/>
    </xf>
    <xf numFmtId="0" fontId="44" fillId="0" borderId="0" xfId="0" applyFont="1" applyAlignment="1">
      <alignment horizontal="right" vertical="center" wrapText="1"/>
    </xf>
    <xf numFmtId="0" fontId="43" fillId="0" borderId="0" xfId="0" applyFont="1" applyAlignment="1">
      <alignment vertical="center" wrapText="1"/>
    </xf>
    <xf numFmtId="0" fontId="44" fillId="0" borderId="0" xfId="0" applyFont="1" applyAlignment="1">
      <alignment horizontal="right"/>
    </xf>
    <xf numFmtId="0" fontId="44" fillId="0" borderId="0" xfId="0" applyFont="1"/>
    <xf numFmtId="0" fontId="9" fillId="0" borderId="0" xfId="0" applyFont="1"/>
    <xf numFmtId="0" fontId="9" fillId="0" borderId="0" xfId="0" applyFont="1" applyAlignment="1">
      <alignment horizontal="center"/>
    </xf>
    <xf numFmtId="0" fontId="20" fillId="6" borderId="21" xfId="0" applyFont="1" applyFill="1" applyBorder="1" applyAlignment="1">
      <alignment horizontal="center" vertical="center" wrapText="1"/>
    </xf>
    <xf numFmtId="0" fontId="14" fillId="0" borderId="21" xfId="0" applyFont="1" applyBorder="1" applyAlignment="1">
      <alignment vertical="center"/>
    </xf>
    <xf numFmtId="0" fontId="34" fillId="0" borderId="24" xfId="0" applyFont="1" applyBorder="1" applyAlignment="1">
      <alignment horizontal="center" vertical="center"/>
    </xf>
    <xf numFmtId="0" fontId="34" fillId="0" borderId="27" xfId="0" applyFont="1" applyBorder="1" applyAlignment="1">
      <alignment vertical="center"/>
    </xf>
    <xf numFmtId="0" fontId="34" fillId="0" borderId="0" xfId="0" applyFont="1" applyAlignment="1">
      <alignment vertical="center"/>
    </xf>
    <xf numFmtId="0" fontId="34" fillId="0" borderId="28" xfId="0" applyFont="1" applyBorder="1" applyAlignment="1">
      <alignment horizontal="center" vertical="center"/>
    </xf>
    <xf numFmtId="0" fontId="34" fillId="0" borderId="28" xfId="0" quotePrefix="1" applyFont="1" applyBorder="1" applyAlignment="1">
      <alignment horizontal="center" vertical="center"/>
    </xf>
    <xf numFmtId="0" fontId="44" fillId="0" borderId="28" xfId="0" quotePrefix="1" applyFont="1" applyBorder="1" applyAlignment="1">
      <alignment horizontal="center" vertical="center"/>
    </xf>
    <xf numFmtId="0" fontId="34" fillId="0" borderId="41" xfId="0" applyFont="1" applyBorder="1" applyAlignment="1">
      <alignment vertical="center"/>
    </xf>
    <xf numFmtId="0" fontId="34" fillId="0" borderId="42" xfId="0" applyFont="1" applyBorder="1" applyAlignment="1">
      <alignment vertical="center"/>
    </xf>
    <xf numFmtId="0" fontId="34" fillId="0" borderId="32" xfId="0" quotePrefix="1" applyFont="1" applyBorder="1" applyAlignment="1">
      <alignment horizontal="center" vertical="center"/>
    </xf>
    <xf numFmtId="0" fontId="34" fillId="0" borderId="37" xfId="0" quotePrefix="1" applyFont="1" applyBorder="1" applyAlignment="1">
      <alignment horizontal="center" vertical="center"/>
    </xf>
    <xf numFmtId="0" fontId="33" fillId="0" borderId="38" xfId="0" applyFont="1" applyBorder="1" applyAlignment="1">
      <alignment vertical="center" wrapText="1"/>
    </xf>
    <xf numFmtId="0" fontId="14" fillId="0" borderId="0" xfId="0" applyFont="1" applyAlignment="1">
      <alignment vertical="center" wrapText="1"/>
    </xf>
    <xf numFmtId="0" fontId="32" fillId="0" borderId="0" xfId="0" applyFont="1" applyAlignment="1">
      <alignment vertical="center"/>
    </xf>
    <xf numFmtId="0" fontId="35" fillId="0" borderId="56" xfId="0" applyFont="1" applyBorder="1" applyAlignment="1">
      <alignment horizontal="center" vertical="center" wrapText="1"/>
    </xf>
    <xf numFmtId="0" fontId="35" fillId="0" borderId="57" xfId="0" applyFont="1" applyBorder="1" applyAlignment="1">
      <alignment horizontal="justify" vertical="center" wrapText="1"/>
    </xf>
    <xf numFmtId="0" fontId="29" fillId="0" borderId="58" xfId="0" applyFont="1" applyBorder="1" applyAlignment="1">
      <alignment horizontal="justify" vertical="center" wrapText="1"/>
    </xf>
    <xf numFmtId="0" fontId="29" fillId="0" borderId="58" xfId="0" applyFont="1" applyBorder="1" applyAlignment="1">
      <alignment horizontal="center" vertical="center" wrapText="1"/>
    </xf>
    <xf numFmtId="0" fontId="29" fillId="0" borderId="59" xfId="0" applyFont="1" applyBorder="1" applyAlignment="1">
      <alignment vertical="center"/>
    </xf>
    <xf numFmtId="0" fontId="28" fillId="0" borderId="60" xfId="0" applyFont="1" applyBorder="1" applyAlignment="1">
      <alignment horizontal="center" vertical="center" wrapText="1"/>
    </xf>
    <xf numFmtId="0" fontId="28" fillId="0" borderId="57" xfId="0" applyFont="1" applyBorder="1" applyAlignment="1">
      <alignment horizontal="justify" vertical="center" wrapText="1"/>
    </xf>
    <xf numFmtId="0" fontId="3" fillId="0" borderId="57" xfId="0" applyFont="1" applyBorder="1" applyAlignment="1">
      <alignment horizontal="justify" vertical="center" wrapText="1"/>
    </xf>
    <xf numFmtId="0" fontId="29" fillId="0" borderId="57" xfId="0" applyFont="1" applyBorder="1" applyAlignment="1">
      <alignment horizontal="center" vertical="center" wrapText="1"/>
    </xf>
    <xf numFmtId="0" fontId="29" fillId="0" borderId="61" xfId="0" applyFont="1" applyBorder="1" applyAlignment="1">
      <alignment vertical="center"/>
    </xf>
    <xf numFmtId="0" fontId="36" fillId="0" borderId="57" xfId="0" applyFont="1" applyBorder="1" applyAlignment="1">
      <alignment horizontal="justify" vertical="center" wrapText="1"/>
    </xf>
    <xf numFmtId="0" fontId="3" fillId="0" borderId="57" xfId="0" applyFont="1" applyBorder="1" applyAlignment="1">
      <alignment horizontal="center" vertical="center" wrapText="1"/>
    </xf>
    <xf numFmtId="0" fontId="3" fillId="0" borderId="61" xfId="0" applyFont="1" applyBorder="1" applyAlignment="1">
      <alignment vertical="center"/>
    </xf>
    <xf numFmtId="0" fontId="35" fillId="0" borderId="60" xfId="0" applyFont="1" applyBorder="1" applyAlignment="1">
      <alignment horizontal="center" vertical="center" wrapText="1"/>
    </xf>
    <xf numFmtId="0" fontId="29" fillId="0" borderId="57" xfId="0" applyFont="1" applyBorder="1" applyAlignment="1">
      <alignment horizontal="justify" vertical="center" wrapText="1"/>
    </xf>
    <xf numFmtId="0" fontId="28" fillId="0" borderId="57" xfId="0" applyFont="1" applyBorder="1" applyAlignment="1">
      <alignment horizontal="left" vertical="center" wrapText="1"/>
    </xf>
    <xf numFmtId="0" fontId="16" fillId="0" borderId="61" xfId="0" applyFont="1" applyBorder="1" applyAlignment="1">
      <alignment vertical="center"/>
    </xf>
    <xf numFmtId="0" fontId="37" fillId="0" borderId="57" xfId="0" applyFont="1" applyBorder="1" applyAlignment="1">
      <alignment horizontal="justify" vertical="center" wrapText="1"/>
    </xf>
    <xf numFmtId="0" fontId="17" fillId="0" borderId="0" xfId="0" applyFont="1" applyAlignment="1">
      <alignment vertical="center"/>
    </xf>
    <xf numFmtId="0" fontId="28" fillId="0" borderId="57" xfId="0" quotePrefix="1" applyFont="1" applyBorder="1" applyAlignment="1">
      <alignment horizontal="justify" vertical="center" wrapText="1"/>
    </xf>
    <xf numFmtId="0" fontId="35" fillId="0" borderId="62" xfId="0" applyFont="1" applyBorder="1" applyAlignment="1">
      <alignment horizontal="center" vertical="center" wrapText="1"/>
    </xf>
    <xf numFmtId="0" fontId="35" fillId="0" borderId="63" xfId="0" applyFont="1" applyBorder="1" applyAlignment="1">
      <alignment horizontal="justify" vertical="center" wrapText="1"/>
    </xf>
    <xf numFmtId="0" fontId="29" fillId="0" borderId="63" xfId="0" applyFont="1" applyBorder="1" applyAlignment="1">
      <alignment horizontal="justify" vertical="center" wrapText="1"/>
    </xf>
    <xf numFmtId="0" fontId="3" fillId="0" borderId="64" xfId="0" applyFont="1" applyBorder="1" applyAlignment="1">
      <alignment vertical="center"/>
    </xf>
    <xf numFmtId="0" fontId="28" fillId="0" borderId="0" xfId="0" applyFont="1" applyAlignment="1">
      <alignment horizontal="center" vertical="center"/>
    </xf>
    <xf numFmtId="0" fontId="28" fillId="0" borderId="0" xfId="0" applyFont="1" applyAlignment="1">
      <alignment vertical="center" wrapText="1"/>
    </xf>
    <xf numFmtId="0" fontId="28" fillId="0" borderId="0" xfId="0" applyFont="1" applyAlignment="1">
      <alignment vertical="center"/>
    </xf>
    <xf numFmtId="0" fontId="4" fillId="0" borderId="21" xfId="0" applyFont="1" applyBorder="1" applyAlignment="1">
      <alignment horizontal="center" vertical="center" wrapText="1"/>
    </xf>
    <xf numFmtId="0" fontId="4" fillId="0" borderId="21" xfId="0" applyFont="1" applyBorder="1" applyAlignment="1">
      <alignment horizontal="left" vertical="center" wrapText="1"/>
    </xf>
    <xf numFmtId="165" fontId="4" fillId="0" borderId="21" xfId="1" applyFont="1" applyBorder="1" applyAlignment="1">
      <alignment horizontal="center" vertical="center" wrapText="1"/>
    </xf>
    <xf numFmtId="0" fontId="4" fillId="3" borderId="0" xfId="0" applyFont="1" applyFill="1" applyAlignment="1">
      <alignment horizontal="center" vertical="center"/>
    </xf>
    <xf numFmtId="0" fontId="5" fillId="3" borderId="0" xfId="0" applyFont="1" applyFill="1" applyAlignment="1">
      <alignment vertical="center" wrapText="1"/>
    </xf>
    <xf numFmtId="0" fontId="4" fillId="3" borderId="0" xfId="0" applyFont="1" applyFill="1" applyAlignment="1">
      <alignment vertical="center" wrapText="1"/>
    </xf>
    <xf numFmtId="0" fontId="4" fillId="3" borderId="0" xfId="0" applyFont="1" applyFill="1" applyAlignment="1">
      <alignment horizontal="left" vertical="center" wrapText="1"/>
    </xf>
    <xf numFmtId="0" fontId="20" fillId="0" borderId="0" xfId="0" applyFont="1" applyAlignment="1">
      <alignment horizontal="center" vertical="center"/>
    </xf>
    <xf numFmtId="0" fontId="20" fillId="0" borderId="0" xfId="0" applyFont="1" applyAlignment="1">
      <alignment horizontal="center" vertical="center" wrapText="1"/>
    </xf>
    <xf numFmtId="0" fontId="33" fillId="0" borderId="0" xfId="0" applyFont="1" applyAlignment="1">
      <alignment horizontal="right" vertical="center"/>
    </xf>
    <xf numFmtId="0" fontId="38" fillId="0" borderId="0" xfId="0" applyFont="1" applyAlignment="1">
      <alignment vertical="center" wrapText="1"/>
    </xf>
    <xf numFmtId="0" fontId="11" fillId="0" borderId="0" xfId="7" applyFont="1"/>
    <xf numFmtId="0" fontId="35" fillId="0" borderId="0" xfId="7" applyFont="1" applyAlignment="1">
      <alignment vertical="center"/>
    </xf>
    <xf numFmtId="0" fontId="9" fillId="0" borderId="0" xfId="7" applyFont="1"/>
    <xf numFmtId="0" fontId="34" fillId="0" borderId="0" xfId="7" applyFont="1" applyAlignment="1">
      <alignment horizontal="center" vertical="center"/>
    </xf>
    <xf numFmtId="0" fontId="34" fillId="0" borderId="0" xfId="7" applyFont="1"/>
    <xf numFmtId="0" fontId="34" fillId="0" borderId="68" xfId="7" applyFont="1" applyBorder="1" applyAlignment="1">
      <alignment vertical="center"/>
    </xf>
    <xf numFmtId="0" fontId="34" fillId="0" borderId="68" xfId="7" applyFont="1" applyBorder="1" applyAlignment="1">
      <alignment horizontal="center" vertical="center" wrapText="1"/>
    </xf>
    <xf numFmtId="0" fontId="34" fillId="0" borderId="69" xfId="7" applyFont="1" applyBorder="1" applyAlignment="1">
      <alignment horizontal="center" vertical="center" wrapText="1"/>
    </xf>
    <xf numFmtId="0" fontId="51" fillId="0" borderId="21" xfId="7" applyFont="1" applyBorder="1" applyAlignment="1">
      <alignment horizontal="center" vertical="center"/>
    </xf>
    <xf numFmtId="0" fontId="42" fillId="0" borderId="0" xfId="7" applyFont="1" applyAlignment="1">
      <alignment horizontal="center" vertical="center"/>
    </xf>
    <xf numFmtId="0" fontId="33" fillId="0" borderId="21" xfId="7" applyFont="1" applyBorder="1" applyAlignment="1">
      <alignment vertical="center"/>
    </xf>
    <xf numFmtId="0" fontId="34" fillId="0" borderId="69" xfId="7" applyFont="1" applyBorder="1" applyAlignment="1">
      <alignment horizontal="center" vertical="center"/>
    </xf>
    <xf numFmtId="0" fontId="51" fillId="0" borderId="17" xfId="7" applyFont="1" applyBorder="1" applyAlignment="1">
      <alignment horizontal="center" vertical="center" wrapText="1"/>
    </xf>
    <xf numFmtId="0" fontId="34" fillId="0" borderId="73" xfId="7" applyFont="1" applyBorder="1" applyAlignment="1">
      <alignment horizontal="left" vertical="center" wrapText="1"/>
    </xf>
    <xf numFmtId="0" fontId="33" fillId="0" borderId="74" xfId="7" applyFont="1" applyBorder="1" applyAlignment="1">
      <alignment horizontal="center" vertical="center" wrapText="1"/>
    </xf>
    <xf numFmtId="0" fontId="33" fillId="0" borderId="67" xfId="7" applyFont="1" applyBorder="1" applyAlignment="1">
      <alignment horizontal="left" vertical="center" wrapText="1"/>
    </xf>
    <xf numFmtId="0" fontId="34" fillId="0" borderId="78" xfId="7" applyFont="1" applyBorder="1" applyAlignment="1">
      <alignment horizontal="left" vertical="center" wrapText="1"/>
    </xf>
    <xf numFmtId="0" fontId="33" fillId="0" borderId="69" xfId="7" applyFont="1" applyBorder="1" applyAlignment="1">
      <alignment horizontal="left" vertical="center" wrapText="1"/>
    </xf>
    <xf numFmtId="0" fontId="51" fillId="0" borderId="21" xfId="7" applyFont="1" applyBorder="1" applyAlignment="1">
      <alignment horizontal="center" vertical="center" wrapText="1"/>
    </xf>
    <xf numFmtId="0" fontId="34" fillId="0" borderId="75" xfId="7" applyFont="1" applyBorder="1" applyAlignment="1">
      <alignment horizontal="left" vertical="center" wrapText="1"/>
    </xf>
    <xf numFmtId="0" fontId="34" fillId="0" borderId="76" xfId="7" applyFont="1" applyBorder="1" applyAlignment="1">
      <alignment horizontal="center" vertical="center" wrapText="1"/>
    </xf>
    <xf numFmtId="0" fontId="34" fillId="0" borderId="67" xfId="7" applyFont="1" applyBorder="1" applyAlignment="1">
      <alignment vertical="center" wrapText="1"/>
    </xf>
    <xf numFmtId="0" fontId="34" fillId="0" borderId="68" xfId="7" applyFont="1" applyBorder="1" applyAlignment="1">
      <alignment vertical="center" wrapText="1"/>
    </xf>
    <xf numFmtId="0" fontId="42" fillId="0" borderId="0" xfId="7" applyFont="1"/>
    <xf numFmtId="0" fontId="33" fillId="0" borderId="0" xfId="7" applyFont="1"/>
    <xf numFmtId="0" fontId="20" fillId="0" borderId="28" xfId="0" quotePrefix="1" applyFont="1" applyBorder="1" applyAlignment="1">
      <alignment horizontal="center" vertical="center"/>
    </xf>
    <xf numFmtId="0" fontId="14" fillId="0" borderId="33" xfId="0" applyFont="1" applyBorder="1" applyAlignment="1">
      <alignment vertical="center" wrapText="1"/>
    </xf>
    <xf numFmtId="0" fontId="20" fillId="0" borderId="33" xfId="0" applyFont="1" applyBorder="1" applyAlignment="1">
      <alignment vertical="center" wrapText="1"/>
    </xf>
    <xf numFmtId="0" fontId="20" fillId="0" borderId="33" xfId="0" applyFont="1" applyBorder="1" applyAlignment="1">
      <alignment horizontal="center" vertical="center"/>
    </xf>
    <xf numFmtId="0" fontId="20" fillId="0" borderId="36" xfId="0" applyFont="1" applyBorder="1" applyAlignment="1">
      <alignment vertical="center"/>
    </xf>
    <xf numFmtId="0" fontId="41" fillId="0" borderId="0" xfId="0" applyFont="1" applyAlignment="1">
      <alignment vertical="center"/>
    </xf>
    <xf numFmtId="0" fontId="17" fillId="0" borderId="0" xfId="0" applyFont="1"/>
    <xf numFmtId="0" fontId="49" fillId="0" borderId="0" xfId="0" applyFont="1"/>
    <xf numFmtId="0" fontId="3" fillId="0" borderId="61" xfId="0" applyFont="1" applyBorder="1" applyAlignment="1">
      <alignment vertical="center" wrapText="1"/>
    </xf>
    <xf numFmtId="3" fontId="34" fillId="5" borderId="0" xfId="6" applyNumberFormat="1" applyFont="1" applyFill="1" applyAlignment="1">
      <alignment wrapText="1"/>
    </xf>
    <xf numFmtId="0" fontId="3" fillId="0" borderId="0" xfId="0" applyFont="1" applyAlignment="1">
      <alignment horizontal="center" vertical="center"/>
    </xf>
    <xf numFmtId="0" fontId="20" fillId="0" borderId="0" xfId="0" applyFont="1" applyAlignment="1">
      <alignment horizontal="center" vertical="center"/>
    </xf>
    <xf numFmtId="0" fontId="3" fillId="0" borderId="0" xfId="0" applyFont="1" applyAlignment="1">
      <alignment horizontal="center"/>
    </xf>
    <xf numFmtId="0" fontId="28" fillId="0" borderId="0" xfId="0" applyFont="1" applyAlignment="1">
      <alignment horizontal="center"/>
    </xf>
    <xf numFmtId="0" fontId="4" fillId="0" borderId="0" xfId="0" applyFont="1" applyAlignment="1">
      <alignment horizontal="center"/>
    </xf>
    <xf numFmtId="0" fontId="20" fillId="0" borderId="0" xfId="0" applyFont="1" applyAlignment="1">
      <alignment horizontal="center" vertical="center" wrapText="1"/>
    </xf>
    <xf numFmtId="0" fontId="14" fillId="0" borderId="0" xfId="0" applyFont="1" applyAlignment="1">
      <alignment horizontal="center" vertical="center"/>
    </xf>
    <xf numFmtId="0" fontId="38" fillId="0" borderId="0" xfId="0" applyFont="1" applyAlignment="1">
      <alignment horizontal="center" vertical="center"/>
    </xf>
    <xf numFmtId="0" fontId="38" fillId="0" borderId="0" xfId="0" applyFont="1" applyAlignment="1">
      <alignment horizontal="right" vertical="center" wrapText="1"/>
    </xf>
    <xf numFmtId="0" fontId="33" fillId="0" borderId="0" xfId="0" applyFont="1" applyAlignment="1">
      <alignment horizontal="right" vertical="center"/>
    </xf>
    <xf numFmtId="0" fontId="3" fillId="0" borderId="0" xfId="0" applyFont="1"/>
    <xf numFmtId="0" fontId="20" fillId="0" borderId="21" xfId="0" applyFont="1" applyBorder="1" applyAlignment="1">
      <alignment horizontal="center" vertical="center"/>
    </xf>
    <xf numFmtId="0" fontId="20" fillId="0" borderId="21" xfId="0" applyFont="1" applyBorder="1" applyAlignment="1">
      <alignment vertical="center" wrapText="1"/>
    </xf>
    <xf numFmtId="0" fontId="20" fillId="7" borderId="21" xfId="0" applyFont="1" applyFill="1" applyBorder="1" applyAlignment="1">
      <alignment horizontal="center" vertical="center"/>
    </xf>
    <xf numFmtId="0" fontId="20" fillId="7" borderId="21" xfId="0" applyFont="1" applyFill="1" applyBorder="1" applyAlignment="1">
      <alignment vertical="center" wrapText="1"/>
    </xf>
    <xf numFmtId="0" fontId="20" fillId="7" borderId="21" xfId="0" applyFont="1" applyFill="1" applyBorder="1" applyAlignment="1">
      <alignment horizontal="center" vertical="center" wrapText="1"/>
    </xf>
    <xf numFmtId="0" fontId="20" fillId="0" borderId="21" xfId="0" applyFont="1" applyBorder="1" applyAlignment="1">
      <alignment vertical="center"/>
    </xf>
    <xf numFmtId="0" fontId="48" fillId="0" borderId="0" xfId="0" applyFont="1" applyAlignment="1">
      <alignment vertical="center"/>
    </xf>
    <xf numFmtId="167" fontId="20" fillId="7" borderId="21" xfId="1" applyNumberFormat="1" applyFont="1" applyFill="1" applyBorder="1" applyAlignment="1">
      <alignment horizontal="center" vertical="center" wrapText="1"/>
    </xf>
    <xf numFmtId="0" fontId="3" fillId="0" borderId="0" xfId="0" applyFont="1" applyAlignment="1">
      <alignment wrapText="1"/>
    </xf>
    <xf numFmtId="0" fontId="29" fillId="0" borderId="0" xfId="0" applyFont="1" applyAlignment="1">
      <alignment wrapText="1"/>
    </xf>
    <xf numFmtId="0" fontId="29" fillId="0" borderId="0" xfId="0" applyFont="1" applyAlignment="1">
      <alignment horizontal="right" wrapText="1"/>
    </xf>
    <xf numFmtId="0" fontId="28" fillId="0" borderId="0" xfId="0" applyFont="1"/>
    <xf numFmtId="0" fontId="36" fillId="0" borderId="0" xfId="0" applyFont="1"/>
    <xf numFmtId="0" fontId="36" fillId="0" borderId="0" xfId="0" applyFont="1" applyAlignment="1">
      <alignment horizontal="center" vertical="center"/>
    </xf>
    <xf numFmtId="0" fontId="36" fillId="0" borderId="0" xfId="0" applyFont="1" applyAlignment="1">
      <alignment vertical="center"/>
    </xf>
    <xf numFmtId="0" fontId="36" fillId="0" borderId="0" xfId="0" applyFont="1" applyAlignment="1">
      <alignment horizontal="center"/>
    </xf>
    <xf numFmtId="49" fontId="29" fillId="0" borderId="20" xfId="2" quotePrefix="1" applyNumberFormat="1" applyFont="1" applyFill="1" applyBorder="1" applyAlignment="1">
      <alignment horizontal="center" vertical="center" wrapText="1"/>
    </xf>
    <xf numFmtId="49" fontId="29" fillId="0" borderId="21" xfId="2" quotePrefix="1" applyNumberFormat="1" applyFont="1" applyFill="1" applyBorder="1" applyAlignment="1">
      <alignment horizontal="center" vertical="center" wrapText="1"/>
    </xf>
    <xf numFmtId="49" fontId="29" fillId="0" borderId="21" xfId="2" applyNumberFormat="1" applyFont="1" applyFill="1" applyBorder="1" applyAlignment="1">
      <alignment horizontal="center" vertical="center" wrapText="1"/>
    </xf>
    <xf numFmtId="49" fontId="29" fillId="0" borderId="22" xfId="2" applyNumberFormat="1" applyFont="1" applyFill="1" applyBorder="1" applyAlignment="1">
      <alignment horizontal="center" vertical="center" wrapText="1"/>
    </xf>
    <xf numFmtId="49" fontId="28" fillId="0" borderId="0" xfId="0" applyNumberFormat="1" applyFont="1" applyAlignment="1">
      <alignment horizontal="center"/>
    </xf>
    <xf numFmtId="0" fontId="29" fillId="4" borderId="23" xfId="0" applyFont="1" applyFill="1" applyBorder="1" applyAlignment="1">
      <alignment horizontal="center" vertical="center" wrapText="1"/>
    </xf>
    <xf numFmtId="0" fontId="29" fillId="4" borderId="4" xfId="0" applyFont="1" applyFill="1" applyBorder="1" applyAlignment="1">
      <alignment horizontal="justify" vertical="center" wrapText="1"/>
    </xf>
    <xf numFmtId="0" fontId="3" fillId="4" borderId="4" xfId="0" quotePrefix="1" applyFont="1" applyFill="1" applyBorder="1" applyAlignment="1">
      <alignment horizontal="center" vertical="center" wrapText="1"/>
    </xf>
    <xf numFmtId="0" fontId="29" fillId="4" borderId="4" xfId="0" applyFont="1" applyFill="1" applyBorder="1" applyAlignment="1">
      <alignment horizontal="justify" vertical="center"/>
    </xf>
    <xf numFmtId="0" fontId="29" fillId="4" borderId="4" xfId="0" applyFont="1" applyFill="1" applyBorder="1" applyAlignment="1">
      <alignment horizontal="center" vertical="center" wrapText="1"/>
    </xf>
    <xf numFmtId="0" fontId="3" fillId="4" borderId="6" xfId="0" applyFont="1" applyFill="1" applyBorder="1" applyAlignment="1">
      <alignment vertical="top"/>
    </xf>
    <xf numFmtId="0" fontId="35" fillId="0" borderId="0" xfId="0" applyFont="1" applyAlignment="1">
      <alignment vertical="top"/>
    </xf>
    <xf numFmtId="0" fontId="29" fillId="0" borderId="24" xfId="0" applyFont="1" applyBorder="1" applyAlignment="1">
      <alignment horizontal="center" vertical="center" wrapText="1"/>
    </xf>
    <xf numFmtId="0" fontId="29" fillId="0" borderId="26" xfId="0" applyFont="1" applyBorder="1" applyAlignment="1">
      <alignment horizontal="justify" vertical="center" wrapText="1"/>
    </xf>
    <xf numFmtId="0" fontId="29" fillId="0" borderId="26" xfId="0" applyFont="1" applyBorder="1" applyAlignment="1">
      <alignment horizontal="justify" vertical="center"/>
    </xf>
    <xf numFmtId="0" fontId="29" fillId="0" borderId="26" xfId="0" applyFont="1" applyBorder="1" applyAlignment="1">
      <alignment horizontal="center" vertical="center" wrapText="1"/>
    </xf>
    <xf numFmtId="0" fontId="29" fillId="0" borderId="27" xfId="0" applyFont="1" applyBorder="1" applyAlignment="1">
      <alignment vertical="top"/>
    </xf>
    <xf numFmtId="0" fontId="15" fillId="0" borderId="28" xfId="0" applyFont="1" applyBorder="1" applyAlignment="1">
      <alignment horizontal="center" vertical="center" wrapText="1"/>
    </xf>
    <xf numFmtId="0" fontId="28" fillId="0" borderId="30" xfId="0" applyFont="1" applyBorder="1" applyAlignment="1" applyProtection="1">
      <alignment horizontal="left" vertical="center"/>
      <protection locked="0"/>
    </xf>
    <xf numFmtId="0" fontId="28" fillId="0" borderId="30" xfId="0" applyFont="1" applyBorder="1" applyAlignment="1" applyProtection="1">
      <alignment horizontal="left" vertical="center" wrapText="1"/>
      <protection locked="0"/>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28" fillId="0" borderId="30" xfId="3" applyFont="1" applyBorder="1" applyAlignment="1">
      <alignment horizontal="left" vertical="center" wrapText="1"/>
      <protection locked="0"/>
    </xf>
    <xf numFmtId="0" fontId="54" fillId="0" borderId="28" xfId="0" applyFont="1" applyBorder="1" applyAlignment="1">
      <alignment horizontal="center" vertical="center" wrapText="1"/>
    </xf>
    <xf numFmtId="0" fontId="29" fillId="0" borderId="30" xfId="0" applyFont="1" applyBorder="1" applyAlignment="1">
      <alignment horizontal="left" vertical="center" wrapText="1"/>
    </xf>
    <xf numFmtId="0" fontId="28" fillId="0" borderId="30" xfId="0" applyFont="1" applyBorder="1" applyAlignment="1" applyProtection="1">
      <alignment vertical="center"/>
      <protection locked="0"/>
    </xf>
    <xf numFmtId="0" fontId="28" fillId="0" borderId="30" xfId="4" applyFont="1" applyBorder="1" applyAlignment="1">
      <alignment horizontal="left" vertical="center"/>
      <protection locked="0"/>
    </xf>
    <xf numFmtId="0" fontId="29" fillId="0" borderId="30" xfId="0" applyFont="1" applyBorder="1" applyAlignment="1">
      <alignment horizontal="center" vertical="center" wrapText="1"/>
    </xf>
    <xf numFmtId="0" fontId="29" fillId="0" borderId="31" xfId="0" applyFont="1" applyBorder="1" applyAlignment="1">
      <alignment vertical="top"/>
    </xf>
    <xf numFmtId="0" fontId="28" fillId="0" borderId="30" xfId="0" applyFont="1" applyBorder="1" applyAlignment="1" applyProtection="1">
      <alignment vertical="center" wrapText="1"/>
      <protection locked="0"/>
    </xf>
    <xf numFmtId="0" fontId="28" fillId="0" borderId="30" xfId="5" applyFont="1" applyBorder="1" applyAlignment="1">
      <alignment horizontal="left" vertical="center" wrapText="1"/>
      <protection locked="0"/>
    </xf>
    <xf numFmtId="0" fontId="29" fillId="0" borderId="30" xfId="0" applyFont="1" applyBorder="1" applyAlignment="1">
      <alignment horizontal="justify" vertical="center" wrapText="1"/>
    </xf>
    <xf numFmtId="0" fontId="3" fillId="0" borderId="30" xfId="0" applyFont="1" applyBorder="1" applyAlignment="1">
      <alignment horizontal="left" vertical="center" wrapText="1"/>
    </xf>
    <xf numFmtId="0" fontId="3" fillId="0" borderId="30" xfId="0" applyFont="1" applyBorder="1" applyAlignment="1">
      <alignment horizontal="justify" vertical="center" wrapText="1"/>
    </xf>
    <xf numFmtId="0" fontId="3" fillId="0" borderId="31" xfId="0" applyFont="1" applyBorder="1" applyAlignment="1">
      <alignment vertical="center"/>
    </xf>
    <xf numFmtId="0" fontId="3" fillId="0" borderId="40" xfId="0" applyFont="1" applyBorder="1" applyAlignment="1">
      <alignment horizontal="center" vertical="center" wrapText="1"/>
    </xf>
    <xf numFmtId="0" fontId="3" fillId="0" borderId="41" xfId="0" applyFont="1" applyBorder="1" applyAlignment="1">
      <alignment horizontal="justify" vertical="center" wrapText="1"/>
    </xf>
    <xf numFmtId="0" fontId="3" fillId="0" borderId="41" xfId="0" applyFont="1" applyBorder="1" applyAlignment="1">
      <alignment horizontal="justify" vertical="center"/>
    </xf>
    <xf numFmtId="0" fontId="3" fillId="0" borderId="41" xfId="0" applyFont="1" applyBorder="1" applyAlignment="1">
      <alignment horizontal="center" vertical="center" wrapText="1"/>
    </xf>
    <xf numFmtId="0" fontId="29" fillId="0" borderId="42" xfId="0" applyFont="1" applyBorder="1" applyAlignment="1">
      <alignment vertical="top"/>
    </xf>
    <xf numFmtId="168" fontId="29" fillId="0" borderId="34" xfId="0" applyNumberFormat="1" applyFont="1" applyBorder="1" applyAlignment="1">
      <alignment vertical="top" wrapText="1"/>
    </xf>
    <xf numFmtId="0" fontId="29" fillId="0" borderId="26" xfId="0" applyFont="1" applyBorder="1" applyAlignment="1">
      <alignment horizontal="left" vertical="center" wrapText="1"/>
    </xf>
    <xf numFmtId="0" fontId="29" fillId="0" borderId="26" xfId="0" applyFont="1" applyBorder="1" applyAlignment="1">
      <alignment horizontal="left" vertical="center"/>
    </xf>
    <xf numFmtId="0" fontId="29" fillId="0" borderId="27" xfId="0" applyFont="1" applyBorder="1" applyAlignment="1">
      <alignment vertical="center"/>
    </xf>
    <xf numFmtId="0" fontId="29" fillId="0" borderId="18" xfId="0" applyFont="1" applyBorder="1" applyAlignment="1">
      <alignment horizontal="left" vertical="center" wrapText="1"/>
    </xf>
    <xf numFmtId="0" fontId="29" fillId="0" borderId="18" xfId="0" applyFont="1" applyBorder="1" applyAlignment="1">
      <alignment horizontal="left" vertical="center"/>
    </xf>
    <xf numFmtId="0" fontId="29" fillId="0" borderId="43" xfId="0" applyFont="1" applyBorder="1" applyAlignment="1">
      <alignment vertical="center"/>
    </xf>
    <xf numFmtId="0" fontId="29" fillId="0" borderId="18" xfId="0" applyFont="1" applyBorder="1" applyAlignment="1">
      <alignment horizontal="center" vertical="center" wrapText="1"/>
    </xf>
    <xf numFmtId="1" fontId="29" fillId="0" borderId="37" xfId="0" applyNumberFormat="1" applyFont="1" applyBorder="1" applyAlignment="1">
      <alignment vertical="top" wrapText="1"/>
    </xf>
    <xf numFmtId="0" fontId="29" fillId="0" borderId="38" xfId="0" applyFont="1" applyBorder="1" applyAlignment="1">
      <alignment horizontal="left" vertical="top" wrapText="1"/>
    </xf>
    <xf numFmtId="0" fontId="29" fillId="0" borderId="38" xfId="0" applyFont="1" applyBorder="1" applyAlignment="1">
      <alignment horizontal="left" vertical="top"/>
    </xf>
    <xf numFmtId="0" fontId="29" fillId="0" borderId="38" xfId="0" applyFont="1" applyBorder="1" applyAlignment="1">
      <alignment horizontal="center" vertical="center" wrapText="1"/>
    </xf>
    <xf numFmtId="0" fontId="29" fillId="0" borderId="38" xfId="0" applyFont="1" applyBorder="1" applyAlignment="1">
      <alignment horizontal="center" vertical="top" wrapText="1"/>
    </xf>
    <xf numFmtId="0" fontId="29" fillId="0" borderId="39" xfId="0" applyFont="1" applyBorder="1" applyAlignment="1">
      <alignment vertical="top"/>
    </xf>
    <xf numFmtId="0" fontId="28" fillId="0" borderId="0" xfId="0" applyFont="1" applyAlignment="1">
      <alignment vertical="top"/>
    </xf>
    <xf numFmtId="0" fontId="3" fillId="0" borderId="0" xfId="0" applyFont="1" applyAlignment="1">
      <alignment horizontal="center" vertical="center" wrapText="1"/>
    </xf>
    <xf numFmtId="0" fontId="29" fillId="0" borderId="0" xfId="0" applyFont="1" applyAlignment="1">
      <alignment horizontal="center"/>
    </xf>
    <xf numFmtId="0" fontId="3" fillId="0" borderId="0" xfId="0" applyFont="1" applyAlignment="1">
      <alignment horizontal="left"/>
    </xf>
    <xf numFmtId="0" fontId="3" fillId="0" borderId="0" xfId="0" quotePrefix="1" applyFont="1" applyAlignment="1">
      <alignment horizontal="center" vertical="center"/>
    </xf>
    <xf numFmtId="0" fontId="28" fillId="0" borderId="0" xfId="0" applyFont="1" applyAlignment="1">
      <alignment horizontal="center" vertical="center" wrapText="1"/>
    </xf>
    <xf numFmtId="0" fontId="28" fillId="0" borderId="0" xfId="0" applyFont="1" applyAlignment="1">
      <alignment wrapText="1"/>
    </xf>
    <xf numFmtId="0" fontId="56" fillId="0" borderId="0" xfId="0" applyFont="1" applyAlignment="1">
      <alignment vertical="top"/>
    </xf>
    <xf numFmtId="167" fontId="5" fillId="0" borderId="21" xfId="2" applyNumberFormat="1" applyFont="1" applyBorder="1" applyAlignment="1">
      <alignment horizontal="center" vertical="center" wrapText="1"/>
    </xf>
    <xf numFmtId="167" fontId="4" fillId="0" borderId="21" xfId="2" applyNumberFormat="1" applyFont="1" applyBorder="1" applyAlignment="1">
      <alignment horizontal="left" vertical="center" wrapText="1"/>
    </xf>
    <xf numFmtId="0" fontId="20" fillId="0" borderId="14" xfId="0" applyFont="1" applyFill="1" applyBorder="1" applyAlignment="1">
      <alignment horizontal="left" vertical="center" wrapText="1"/>
    </xf>
    <xf numFmtId="0" fontId="14" fillId="0" borderId="21" xfId="0" quotePrefix="1" applyFont="1" applyBorder="1" applyAlignment="1">
      <alignment horizontal="center" vertical="center"/>
    </xf>
    <xf numFmtId="0" fontId="20" fillId="0" borderId="21" xfId="0" quotePrefix="1" applyFont="1" applyBorder="1" applyAlignment="1">
      <alignment horizontal="center" vertical="center" wrapText="1"/>
    </xf>
    <xf numFmtId="0" fontId="20" fillId="0" borderId="43" xfId="0" quotePrefix="1" applyFont="1" applyBorder="1" applyAlignment="1">
      <alignment horizontal="center" vertical="center" wrapText="1"/>
    </xf>
    <xf numFmtId="0" fontId="14" fillId="0" borderId="0" xfId="0" applyFont="1" applyFill="1" applyAlignment="1">
      <alignment horizontal="center" vertical="center"/>
    </xf>
    <xf numFmtId="0" fontId="20" fillId="0" borderId="0" xfId="0" applyFont="1" applyFill="1" applyAlignment="1">
      <alignment horizontal="center" vertical="center"/>
    </xf>
    <xf numFmtId="0" fontId="14" fillId="0" borderId="0" xfId="0" applyFont="1" applyFill="1" applyAlignment="1">
      <alignment vertical="center"/>
    </xf>
    <xf numFmtId="0" fontId="33" fillId="0" borderId="0" xfId="0" applyFont="1" applyFill="1" applyAlignment="1">
      <alignment horizontal="right" vertical="center"/>
    </xf>
    <xf numFmtId="0" fontId="14" fillId="0" borderId="0" xfId="0" applyFont="1" applyFill="1" applyAlignment="1">
      <alignment vertical="center" wrapText="1"/>
    </xf>
    <xf numFmtId="0" fontId="39" fillId="0" borderId="0" xfId="0" applyFont="1" applyFill="1" applyAlignment="1">
      <alignment vertical="center"/>
    </xf>
    <xf numFmtId="0" fontId="38" fillId="0" borderId="0" xfId="0" applyFont="1" applyFill="1" applyAlignment="1">
      <alignment horizontal="center" vertical="center"/>
    </xf>
    <xf numFmtId="0" fontId="20" fillId="0" borderId="0" xfId="0" applyFont="1" applyFill="1" applyAlignment="1">
      <alignment horizontal="center" vertical="center" wrapText="1"/>
    </xf>
    <xf numFmtId="0" fontId="20" fillId="0" borderId="21" xfId="0" quotePrefix="1" applyFont="1" applyFill="1" applyBorder="1" applyAlignment="1">
      <alignment horizontal="center" vertical="center" wrapText="1"/>
    </xf>
    <xf numFmtId="0" fontId="20" fillId="0" borderId="21" xfId="0" applyFont="1" applyFill="1" applyBorder="1" applyAlignment="1">
      <alignment vertical="center"/>
    </xf>
    <xf numFmtId="0" fontId="20" fillId="0" borderId="0" xfId="0" applyFont="1" applyFill="1" applyAlignment="1">
      <alignment vertical="center" wrapText="1"/>
    </xf>
    <xf numFmtId="0" fontId="20" fillId="0" borderId="0" xfId="0" applyFont="1" applyFill="1" applyAlignment="1">
      <alignment vertical="center"/>
    </xf>
    <xf numFmtId="0" fontId="20" fillId="0" borderId="21" xfId="0" applyFont="1" applyFill="1" applyBorder="1" applyAlignment="1">
      <alignment horizontal="center" vertical="center"/>
    </xf>
    <xf numFmtId="0" fontId="20" fillId="0" borderId="21" xfId="0" applyFont="1" applyFill="1" applyBorder="1" applyAlignment="1">
      <alignment vertical="center" wrapText="1"/>
    </xf>
    <xf numFmtId="0" fontId="14" fillId="0" borderId="21" xfId="0" applyFont="1" applyFill="1" applyBorder="1" applyAlignment="1">
      <alignment horizontal="center" vertical="center"/>
    </xf>
    <xf numFmtId="0" fontId="14" fillId="0" borderId="21" xfId="0" applyFont="1" applyFill="1" applyBorder="1" applyAlignment="1">
      <alignment vertical="center" wrapText="1"/>
    </xf>
    <xf numFmtId="0" fontId="14" fillId="0" borderId="21" xfId="0" applyFont="1" applyFill="1" applyBorder="1" applyAlignment="1">
      <alignment vertical="center"/>
    </xf>
    <xf numFmtId="0" fontId="14" fillId="0" borderId="21" xfId="0" quotePrefix="1" applyFont="1" applyFill="1" applyBorder="1" applyAlignment="1">
      <alignment horizontal="center" vertical="center"/>
    </xf>
    <xf numFmtId="0" fontId="38" fillId="0" borderId="0" xfId="0" applyFont="1" applyFill="1" applyAlignment="1">
      <alignment vertical="center"/>
    </xf>
    <xf numFmtId="0" fontId="38" fillId="0" borderId="0" xfId="0" applyFont="1" applyFill="1" applyAlignment="1">
      <alignment vertical="center" wrapText="1"/>
    </xf>
    <xf numFmtId="167" fontId="14" fillId="0" borderId="0" xfId="1" applyNumberFormat="1" applyFont="1" applyFill="1" applyAlignment="1">
      <alignment horizontal="center" vertical="center"/>
    </xf>
    <xf numFmtId="167" fontId="20" fillId="0" borderId="0" xfId="1" applyNumberFormat="1" applyFont="1" applyFill="1" applyAlignment="1">
      <alignment horizontal="center" vertical="center"/>
    </xf>
    <xf numFmtId="167" fontId="14" fillId="0" borderId="0" xfId="1" applyNumberFormat="1" applyFont="1" applyFill="1" applyAlignment="1">
      <alignment vertical="center"/>
    </xf>
    <xf numFmtId="167" fontId="38" fillId="0" borderId="0" xfId="1" applyNumberFormat="1" applyFont="1" applyFill="1" applyAlignment="1">
      <alignment vertical="center"/>
    </xf>
    <xf numFmtId="0" fontId="14" fillId="0" borderId="0" xfId="0" applyFont="1" applyFill="1" applyAlignment="1">
      <alignment horizontal="left" vertical="center" wrapText="1"/>
    </xf>
    <xf numFmtId="0" fontId="14" fillId="0" borderId="86" xfId="0" applyFont="1" applyFill="1" applyBorder="1" applyAlignment="1">
      <alignment vertical="center" wrapText="1"/>
    </xf>
    <xf numFmtId="0" fontId="14" fillId="0" borderId="21" xfId="0" applyFont="1" applyFill="1" applyBorder="1" applyAlignment="1">
      <alignment horizontal="center" vertical="center" wrapText="1"/>
    </xf>
    <xf numFmtId="0" fontId="20" fillId="8" borderId="21" xfId="0" applyFont="1" applyFill="1" applyBorder="1" applyAlignment="1">
      <alignment horizontal="center" vertical="center" wrapText="1"/>
    </xf>
    <xf numFmtId="167" fontId="20" fillId="8" borderId="21" xfId="1" applyNumberFormat="1" applyFont="1" applyFill="1" applyBorder="1" applyAlignment="1">
      <alignment horizontal="center" vertical="center" wrapText="1"/>
    </xf>
    <xf numFmtId="0" fontId="20" fillId="8" borderId="21" xfId="0" quotePrefix="1" applyFont="1" applyFill="1" applyBorder="1" applyAlignment="1">
      <alignment horizontal="center" vertical="center" wrapText="1"/>
    </xf>
    <xf numFmtId="167" fontId="20" fillId="8" borderId="21" xfId="1" quotePrefix="1" applyNumberFormat="1" applyFont="1" applyFill="1" applyBorder="1" applyAlignment="1">
      <alignment horizontal="center" vertical="center" wrapText="1"/>
    </xf>
    <xf numFmtId="0" fontId="20" fillId="8" borderId="21" xfId="0" applyFont="1" applyFill="1" applyBorder="1" applyAlignment="1">
      <alignment vertical="center"/>
    </xf>
    <xf numFmtId="167" fontId="20" fillId="8" borderId="21" xfId="1" applyNumberFormat="1" applyFont="1" applyFill="1" applyBorder="1" applyAlignment="1">
      <alignment vertical="center"/>
    </xf>
    <xf numFmtId="0" fontId="20" fillId="8" borderId="21" xfId="0" applyFont="1" applyFill="1" applyBorder="1" applyAlignment="1">
      <alignment vertical="center" wrapText="1"/>
    </xf>
    <xf numFmtId="167" fontId="20" fillId="8" borderId="21" xfId="1" applyNumberFormat="1" applyFont="1" applyFill="1" applyBorder="1" applyAlignment="1">
      <alignment vertical="center" wrapText="1"/>
    </xf>
    <xf numFmtId="0" fontId="14" fillId="8" borderId="21" xfId="0" applyFont="1" applyFill="1" applyBorder="1" applyAlignment="1">
      <alignment vertical="center" wrapText="1"/>
    </xf>
    <xf numFmtId="167" fontId="14" fillId="8" borderId="21" xfId="1" applyNumberFormat="1" applyFont="1" applyFill="1" applyBorder="1" applyAlignment="1">
      <alignment vertical="center" wrapText="1"/>
    </xf>
    <xf numFmtId="0" fontId="14" fillId="8" borderId="21" xfId="0" applyFont="1" applyFill="1" applyBorder="1" applyAlignment="1">
      <alignment vertical="center"/>
    </xf>
    <xf numFmtId="167" fontId="14" fillId="8" borderId="21" xfId="1" applyNumberFormat="1" applyFont="1" applyFill="1" applyBorder="1" applyAlignment="1">
      <alignment vertical="center"/>
    </xf>
    <xf numFmtId="0" fontId="20" fillId="7" borderId="21" xfId="0" quotePrefix="1" applyFont="1" applyFill="1" applyBorder="1" applyAlignment="1">
      <alignment horizontal="center" vertical="center" wrapText="1"/>
    </xf>
    <xf numFmtId="0" fontId="20" fillId="7" borderId="21" xfId="0" applyFont="1" applyFill="1" applyBorder="1" applyAlignment="1">
      <alignment vertical="center"/>
    </xf>
    <xf numFmtId="0" fontId="14" fillId="7" borderId="21" xfId="0" applyFont="1" applyFill="1" applyBorder="1" applyAlignment="1">
      <alignment vertical="center"/>
    </xf>
    <xf numFmtId="167" fontId="14" fillId="7" borderId="21" xfId="1" applyNumberFormat="1" applyFont="1" applyFill="1" applyBorder="1" applyAlignment="1">
      <alignment vertical="center" wrapText="1"/>
    </xf>
    <xf numFmtId="167" fontId="20" fillId="7" borderId="21" xfId="1" applyNumberFormat="1" applyFont="1" applyFill="1" applyBorder="1" applyAlignment="1">
      <alignment vertical="center" wrapText="1"/>
    </xf>
    <xf numFmtId="167" fontId="20" fillId="7" borderId="21" xfId="1" applyNumberFormat="1" applyFont="1" applyFill="1" applyBorder="1" applyAlignment="1">
      <alignment vertical="center"/>
    </xf>
    <xf numFmtId="167" fontId="14" fillId="7" borderId="21" xfId="1" applyNumberFormat="1" applyFont="1" applyFill="1" applyBorder="1" applyAlignment="1">
      <alignment vertical="center"/>
    </xf>
    <xf numFmtId="0" fontId="14" fillId="7" borderId="21" xfId="0" applyFont="1" applyFill="1" applyBorder="1" applyAlignment="1">
      <alignment horizontal="center" vertical="center"/>
    </xf>
    <xf numFmtId="0" fontId="14" fillId="7" borderId="21" xfId="0" applyFont="1" applyFill="1" applyBorder="1" applyAlignment="1">
      <alignment horizontal="center" vertical="center" wrapText="1"/>
    </xf>
    <xf numFmtId="0" fontId="20" fillId="9" borderId="21" xfId="0" quotePrefix="1" applyFont="1" applyFill="1" applyBorder="1" applyAlignment="1">
      <alignment horizontal="center" vertical="center" wrapText="1"/>
    </xf>
    <xf numFmtId="0" fontId="14" fillId="9" borderId="21" xfId="0" applyFont="1" applyFill="1" applyBorder="1" applyAlignment="1">
      <alignment horizontal="center" vertical="center"/>
    </xf>
    <xf numFmtId="0" fontId="14" fillId="9" borderId="21" xfId="0" applyFont="1" applyFill="1" applyBorder="1" applyAlignment="1">
      <alignment horizontal="center" vertical="center" wrapText="1"/>
    </xf>
    <xf numFmtId="0" fontId="20" fillId="9" borderId="21" xfId="0" applyFont="1" applyFill="1" applyBorder="1" applyAlignment="1">
      <alignment horizontal="center" vertical="center"/>
    </xf>
    <xf numFmtId="167" fontId="14" fillId="9" borderId="21" xfId="2" applyNumberFormat="1" applyFont="1" applyFill="1" applyBorder="1" applyAlignment="1">
      <alignment horizontal="center" vertical="center"/>
    </xf>
    <xf numFmtId="167" fontId="20" fillId="9" borderId="21" xfId="2" applyNumberFormat="1" applyFont="1" applyFill="1" applyBorder="1" applyAlignment="1">
      <alignment vertical="center"/>
    </xf>
    <xf numFmtId="0" fontId="20" fillId="6" borderId="21" xfId="0" quotePrefix="1" applyFont="1" applyFill="1" applyBorder="1" applyAlignment="1">
      <alignment horizontal="center" vertical="center" wrapText="1"/>
    </xf>
    <xf numFmtId="0" fontId="20" fillId="6" borderId="21" xfId="0" applyFont="1" applyFill="1" applyBorder="1" applyAlignment="1">
      <alignment vertical="center"/>
    </xf>
    <xf numFmtId="0" fontId="14" fillId="6" borderId="21" xfId="0" applyFont="1" applyFill="1" applyBorder="1" applyAlignment="1">
      <alignment vertical="center"/>
    </xf>
    <xf numFmtId="0" fontId="20" fillId="10" borderId="35" xfId="0" quotePrefix="1" applyFont="1" applyFill="1" applyBorder="1" applyAlignment="1">
      <alignment horizontal="center" vertical="center" wrapText="1"/>
    </xf>
    <xf numFmtId="0" fontId="5" fillId="6" borderId="21" xfId="0" quotePrefix="1" applyFont="1" applyFill="1" applyBorder="1" applyAlignment="1">
      <alignment horizontal="center" vertical="center" wrapText="1"/>
    </xf>
    <xf numFmtId="3" fontId="33" fillId="0" borderId="21" xfId="6" applyNumberFormat="1" applyFont="1" applyBorder="1" applyAlignment="1">
      <alignment horizontal="left" vertical="center" wrapText="1"/>
    </xf>
    <xf numFmtId="0" fontId="34" fillId="10" borderId="21" xfId="0" applyFont="1" applyFill="1" applyBorder="1" applyAlignment="1">
      <alignment wrapText="1"/>
    </xf>
    <xf numFmtId="0" fontId="34" fillId="3" borderId="21" xfId="0" applyFont="1" applyFill="1" applyBorder="1"/>
    <xf numFmtId="3" fontId="57" fillId="0" borderId="21" xfId="0" applyNumberFormat="1" applyFont="1" applyBorder="1"/>
    <xf numFmtId="0" fontId="34" fillId="0" borderId="21" xfId="6" applyFont="1" applyBorder="1" applyAlignment="1">
      <alignment wrapText="1"/>
    </xf>
    <xf numFmtId="0" fontId="5" fillId="0" borderId="20" xfId="0" applyFont="1" applyBorder="1" applyAlignment="1">
      <alignment horizontal="center" vertical="top" wrapText="1"/>
    </xf>
    <xf numFmtId="0" fontId="5" fillId="0" borderId="21" xfId="0" applyFont="1" applyBorder="1" applyAlignment="1">
      <alignment horizontal="justify" vertical="top" wrapText="1"/>
    </xf>
    <xf numFmtId="0" fontId="5" fillId="0" borderId="21" xfId="0" applyFont="1" applyBorder="1" applyAlignment="1">
      <alignment horizontal="center" vertical="top" wrapText="1"/>
    </xf>
    <xf numFmtId="165" fontId="5" fillId="0" borderId="21" xfId="1" applyFont="1" applyBorder="1" applyAlignment="1">
      <alignment horizontal="center" vertical="top" wrapText="1"/>
    </xf>
    <xf numFmtId="165" fontId="5" fillId="0" borderId="21" xfId="1" applyFont="1" applyBorder="1" applyAlignment="1">
      <alignment horizontal="center" vertical="center" wrapText="1"/>
    </xf>
    <xf numFmtId="0" fontId="5" fillId="0" borderId="22" xfId="0" applyFont="1" applyBorder="1" applyAlignment="1">
      <alignment vertical="top"/>
    </xf>
    <xf numFmtId="0" fontId="4" fillId="0" borderId="20" xfId="0" applyFont="1" applyBorder="1" applyAlignment="1">
      <alignment horizontal="center" vertical="center" wrapText="1"/>
    </xf>
    <xf numFmtId="0" fontId="8" fillId="0" borderId="21" xfId="0" applyFont="1" applyBorder="1" applyAlignment="1">
      <alignment horizontal="left" vertical="center" wrapText="1"/>
    </xf>
    <xf numFmtId="0" fontId="4" fillId="0" borderId="22" xfId="0" applyFont="1" applyBorder="1" applyAlignment="1">
      <alignment vertical="center"/>
    </xf>
    <xf numFmtId="0" fontId="8" fillId="0" borderId="20" xfId="0" applyFont="1" applyBorder="1" applyAlignment="1">
      <alignment horizontal="center" vertical="center" wrapText="1"/>
    </xf>
    <xf numFmtId="0" fontId="8" fillId="0" borderId="21" xfId="0" quotePrefix="1" applyFont="1" applyBorder="1" applyAlignment="1">
      <alignment horizontal="left" vertical="center" wrapText="1"/>
    </xf>
    <xf numFmtId="0" fontId="8" fillId="0" borderId="21" xfId="0" applyFont="1" applyBorder="1" applyAlignment="1">
      <alignment horizontal="center" vertical="center" wrapText="1"/>
    </xf>
    <xf numFmtId="165" fontId="8" fillId="0" borderId="21" xfId="1" applyFont="1" applyBorder="1" applyAlignment="1">
      <alignment horizontal="center" vertical="center" wrapText="1"/>
    </xf>
    <xf numFmtId="0" fontId="8" fillId="0" borderId="22" xfId="0" applyFont="1" applyBorder="1" applyAlignment="1">
      <alignment vertical="center"/>
    </xf>
    <xf numFmtId="0" fontId="4" fillId="2" borderId="21" xfId="0" applyFont="1" applyFill="1" applyBorder="1" applyAlignment="1">
      <alignment horizontal="center" vertical="center" wrapText="1"/>
    </xf>
    <xf numFmtId="165" fontId="5" fillId="2" borderId="21" xfId="1" applyFont="1" applyFill="1" applyBorder="1" applyAlignment="1">
      <alignment horizontal="center" vertical="center" wrapText="1"/>
    </xf>
    <xf numFmtId="0" fontId="4" fillId="2" borderId="22" xfId="0" applyFont="1" applyFill="1" applyBorder="1" applyAlignment="1">
      <alignment vertical="center"/>
    </xf>
    <xf numFmtId="0" fontId="4" fillId="0" borderId="62" xfId="0" applyFont="1" applyBorder="1" applyAlignment="1">
      <alignment horizontal="center" vertical="center" wrapText="1"/>
    </xf>
    <xf numFmtId="0" fontId="4" fillId="0" borderId="63" xfId="0" applyFont="1" applyBorder="1" applyAlignment="1">
      <alignment horizontal="left" vertical="center" wrapText="1"/>
    </xf>
    <xf numFmtId="0" fontId="4" fillId="0" borderId="63" xfId="0" applyFont="1" applyBorder="1" applyAlignment="1">
      <alignment horizontal="center" vertical="center" wrapText="1"/>
    </xf>
    <xf numFmtId="165" fontId="4" fillId="0" borderId="63" xfId="1" applyFont="1" applyBorder="1" applyAlignment="1">
      <alignment horizontal="center" vertical="center" wrapText="1"/>
    </xf>
    <xf numFmtId="0" fontId="4" fillId="0" borderId="64" xfId="0" applyFont="1" applyBorder="1" applyAlignment="1">
      <alignment vertical="center"/>
    </xf>
    <xf numFmtId="0" fontId="8" fillId="0" borderId="87" xfId="0" applyFont="1" applyBorder="1" applyAlignment="1">
      <alignment horizontal="center" vertical="center" wrapText="1"/>
    </xf>
    <xf numFmtId="0" fontId="4" fillId="0" borderId="88" xfId="0" applyFont="1" applyBorder="1" applyAlignment="1">
      <alignment horizontal="left" vertical="center" wrapText="1"/>
    </xf>
    <xf numFmtId="0" fontId="4" fillId="0" borderId="88" xfId="0" applyFont="1" applyBorder="1" applyAlignment="1">
      <alignment horizontal="center" vertical="center" wrapText="1"/>
    </xf>
    <xf numFmtId="165" fontId="4" fillId="0" borderId="88" xfId="1" applyFont="1" applyBorder="1" applyAlignment="1">
      <alignment horizontal="center" vertical="center" wrapText="1"/>
    </xf>
    <xf numFmtId="0" fontId="4" fillId="0" borderId="89" xfId="0" applyFont="1" applyBorder="1" applyAlignment="1">
      <alignment vertical="center"/>
    </xf>
    <xf numFmtId="1" fontId="4" fillId="0" borderId="0" xfId="0" applyNumberFormat="1" applyFont="1" applyAlignment="1">
      <alignment vertical="center" wrapText="1"/>
    </xf>
    <xf numFmtId="1" fontId="4" fillId="0" borderId="0" xfId="0" applyNumberFormat="1" applyFont="1" applyAlignment="1">
      <alignment vertical="center"/>
    </xf>
    <xf numFmtId="1" fontId="6" fillId="0" borderId="0" xfId="0" applyNumberFormat="1" applyFont="1" applyAlignment="1">
      <alignment vertical="center"/>
    </xf>
    <xf numFmtId="1" fontId="4" fillId="3" borderId="0" xfId="0" applyNumberFormat="1" applyFont="1" applyFill="1" applyAlignment="1">
      <alignment vertical="center" wrapText="1"/>
    </xf>
    <xf numFmtId="1" fontId="0" fillId="0" borderId="0" xfId="0" applyNumberFormat="1" applyAlignment="1">
      <alignment vertical="center"/>
    </xf>
    <xf numFmtId="1" fontId="4" fillId="3" borderId="0" xfId="0" applyNumberFormat="1" applyFont="1" applyFill="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xf>
    <xf numFmtId="167" fontId="5" fillId="0" borderId="15" xfId="2" applyNumberFormat="1" applyFont="1" applyBorder="1" applyAlignment="1">
      <alignment horizontal="center" vertical="center" wrapText="1"/>
    </xf>
    <xf numFmtId="167" fontId="5" fillId="0" borderId="13" xfId="2" applyNumberFormat="1" applyFont="1" applyBorder="1" applyAlignment="1">
      <alignment horizontal="center" vertical="center" wrapText="1"/>
    </xf>
    <xf numFmtId="167" fontId="5" fillId="0" borderId="14" xfId="2" applyNumberFormat="1" applyFont="1" applyBorder="1" applyAlignment="1">
      <alignment horizontal="center" vertical="center" wrapText="1"/>
    </xf>
    <xf numFmtId="0" fontId="5" fillId="0" borderId="0" xfId="0" applyFont="1" applyAlignment="1">
      <alignment horizontal="left" vertical="center" wrapText="1"/>
    </xf>
    <xf numFmtId="0" fontId="28"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left" vertical="center" wrapText="1"/>
    </xf>
    <xf numFmtId="0" fontId="33" fillId="0" borderId="67" xfId="7" applyFont="1" applyBorder="1" applyAlignment="1">
      <alignment horizontal="center" vertical="center" wrapText="1"/>
    </xf>
    <xf numFmtId="0" fontId="33" fillId="0" borderId="68" xfId="7" applyFont="1" applyBorder="1" applyAlignment="1">
      <alignment horizontal="center" vertical="center" wrapText="1"/>
    </xf>
    <xf numFmtId="0" fontId="34" fillId="0" borderId="68" xfId="7" applyFont="1" applyBorder="1" applyAlignment="1">
      <alignment horizontal="left" vertical="center" wrapText="1"/>
    </xf>
    <xf numFmtId="0" fontId="34" fillId="0" borderId="69" xfId="7" applyFont="1" applyBorder="1" applyAlignment="1">
      <alignment horizontal="left" vertical="center" wrapText="1"/>
    </xf>
    <xf numFmtId="0" fontId="34" fillId="0" borderId="68" xfId="7" applyFont="1" applyBorder="1" applyAlignment="1">
      <alignment horizontal="center" vertical="center"/>
    </xf>
    <xf numFmtId="0" fontId="34" fillId="0" borderId="67" xfId="7" applyFont="1" applyBorder="1" applyAlignment="1">
      <alignment horizontal="center" vertical="center"/>
    </xf>
    <xf numFmtId="0" fontId="33" fillId="0" borderId="0" xfId="0" applyFont="1" applyAlignment="1">
      <alignment horizontal="right" vertical="center"/>
    </xf>
    <xf numFmtId="168" fontId="11" fillId="0" borderId="25" xfId="0" applyNumberFormat="1" applyFont="1" applyBorder="1" applyAlignment="1">
      <alignment vertical="top" wrapText="1"/>
    </xf>
    <xf numFmtId="0" fontId="61" fillId="0" borderId="0" xfId="0" applyFont="1" applyAlignment="1">
      <alignment vertical="top"/>
    </xf>
    <xf numFmtId="0" fontId="17" fillId="0" borderId="30" xfId="0" applyFont="1" applyBorder="1" applyAlignment="1">
      <alignment horizontal="right" vertical="center" wrapText="1"/>
    </xf>
    <xf numFmtId="0" fontId="8" fillId="0" borderId="0" xfId="0" applyFont="1" applyAlignment="1">
      <alignment vertical="top"/>
    </xf>
    <xf numFmtId="49" fontId="5" fillId="0" borderId="66" xfId="2" quotePrefix="1" applyNumberFormat="1" applyFont="1" applyFill="1" applyBorder="1" applyAlignment="1">
      <alignment horizontal="center" vertical="center" wrapText="1"/>
    </xf>
    <xf numFmtId="49" fontId="5" fillId="0" borderId="66" xfId="2" applyNumberFormat="1" applyFont="1" applyFill="1" applyBorder="1" applyAlignment="1">
      <alignment horizontal="center" vertical="center" wrapText="1"/>
    </xf>
    <xf numFmtId="170" fontId="4" fillId="0" borderId="0" xfId="0" applyNumberFormat="1" applyFont="1" applyFill="1" applyAlignment="1">
      <alignment wrapText="1"/>
    </xf>
    <xf numFmtId="0" fontId="5" fillId="0" borderId="0" xfId="0" applyFont="1" applyFill="1" applyAlignment="1">
      <alignment wrapText="1"/>
    </xf>
    <xf numFmtId="0" fontId="20" fillId="0" borderId="0" xfId="0" applyFont="1" applyFill="1" applyAlignment="1">
      <alignment horizontal="right" wrapText="1"/>
    </xf>
    <xf numFmtId="0" fontId="4" fillId="0" borderId="0" xfId="0" applyFont="1" applyFill="1"/>
    <xf numFmtId="0" fontId="11" fillId="0" borderId="0" xfId="0" applyFont="1" applyFill="1"/>
    <xf numFmtId="0" fontId="0" fillId="0" borderId="0" xfId="0" applyFill="1"/>
    <xf numFmtId="0" fontId="6" fillId="0" borderId="0" xfId="0" applyFont="1" applyFill="1"/>
    <xf numFmtId="170" fontId="6" fillId="0" borderId="0" xfId="0" applyNumberFormat="1" applyFont="1" applyFill="1"/>
    <xf numFmtId="0" fontId="6" fillId="0" borderId="0" xfId="0" applyFont="1" applyFill="1" applyAlignment="1">
      <alignment horizontal="center"/>
    </xf>
    <xf numFmtId="0" fontId="7" fillId="0" borderId="0" xfId="0" applyFont="1" applyFill="1"/>
    <xf numFmtId="49" fontId="4" fillId="0" borderId="0" xfId="0" applyNumberFormat="1" applyFont="1" applyFill="1" applyAlignment="1">
      <alignment horizontal="center"/>
    </xf>
    <xf numFmtId="49" fontId="11" fillId="0" borderId="0" xfId="0" applyNumberFormat="1" applyFont="1" applyFill="1" applyAlignment="1">
      <alignment horizontal="center"/>
    </xf>
    <xf numFmtId="49" fontId="7" fillId="0" borderId="0" xfId="0" applyNumberFormat="1" applyFont="1" applyFill="1" applyAlignment="1">
      <alignment horizontal="center"/>
    </xf>
    <xf numFmtId="0" fontId="5" fillId="0" borderId="0" xfId="0" applyFont="1" applyFill="1"/>
    <xf numFmtId="0" fontId="8" fillId="0" borderId="0" xfId="0" applyFont="1" applyFill="1" applyAlignment="1">
      <alignment vertical="top"/>
    </xf>
    <xf numFmtId="0" fontId="12" fillId="0" borderId="0" xfId="0" applyFont="1" applyFill="1" applyAlignment="1">
      <alignment vertical="top"/>
    </xf>
    <xf numFmtId="0" fontId="13" fillId="0" borderId="0" xfId="0" applyFont="1" applyFill="1" applyAlignment="1">
      <alignment vertical="top"/>
    </xf>
    <xf numFmtId="0" fontId="5" fillId="0" borderId="0" xfId="0" applyFont="1" applyFill="1" applyAlignment="1">
      <alignment vertical="top"/>
    </xf>
    <xf numFmtId="0" fontId="9" fillId="0" borderId="0" xfId="0" applyFont="1" applyFill="1" applyAlignment="1">
      <alignment vertical="top"/>
    </xf>
    <xf numFmtId="0" fontId="23" fillId="0" borderId="0" xfId="0" applyFont="1" applyFill="1" applyAlignment="1">
      <alignment vertical="top"/>
    </xf>
    <xf numFmtId="0" fontId="56" fillId="0" borderId="0" xfId="0" applyFont="1" applyFill="1" applyAlignment="1">
      <alignment vertical="top"/>
    </xf>
    <xf numFmtId="0" fontId="4" fillId="0" borderId="0" xfId="0" applyFont="1" applyFill="1" applyAlignment="1">
      <alignment horizontal="center"/>
    </xf>
    <xf numFmtId="0" fontId="4" fillId="0" borderId="0" xfId="0" applyFont="1" applyFill="1" applyAlignment="1">
      <alignment wrapText="1"/>
    </xf>
    <xf numFmtId="0" fontId="4" fillId="0" borderId="0" xfId="0" quotePrefix="1" applyFont="1" applyFill="1" applyAlignment="1">
      <alignment horizontal="left"/>
    </xf>
    <xf numFmtId="169" fontId="4" fillId="0" borderId="0" xfId="0" applyNumberFormat="1" applyFont="1" applyFill="1" applyAlignment="1">
      <alignment wrapText="1"/>
    </xf>
    <xf numFmtId="0" fontId="4" fillId="0" borderId="0" xfId="0" quotePrefix="1" applyFont="1" applyFill="1"/>
    <xf numFmtId="0" fontId="11" fillId="0" borderId="0" xfId="0" applyFont="1" applyFill="1" applyAlignment="1">
      <alignment horizontal="center"/>
    </xf>
    <xf numFmtId="0" fontId="11" fillId="0" borderId="0" xfId="0" applyFont="1" applyFill="1" applyAlignment="1">
      <alignment wrapText="1"/>
    </xf>
    <xf numFmtId="170" fontId="11" fillId="0" borderId="0" xfId="0" applyNumberFormat="1" applyFont="1" applyFill="1" applyAlignment="1">
      <alignment wrapText="1"/>
    </xf>
    <xf numFmtId="0" fontId="0" fillId="0" borderId="0" xfId="0" applyFill="1" applyAlignment="1">
      <alignment horizontal="center"/>
    </xf>
    <xf numFmtId="0" fontId="0" fillId="0" borderId="0" xfId="0" applyFill="1" applyAlignment="1">
      <alignment wrapText="1"/>
    </xf>
    <xf numFmtId="170" fontId="0" fillId="0" borderId="0" xfId="0" applyNumberFormat="1" applyFill="1" applyAlignment="1">
      <alignment wrapText="1"/>
    </xf>
    <xf numFmtId="0" fontId="5" fillId="0" borderId="0" xfId="0" applyFont="1" applyFill="1" applyAlignment="1">
      <alignment vertical="center"/>
    </xf>
    <xf numFmtId="0" fontId="4" fillId="0" borderId="0" xfId="0" applyFont="1" applyFill="1" applyAlignment="1">
      <alignment vertical="top"/>
    </xf>
    <xf numFmtId="0" fontId="11" fillId="0" borderId="0" xfId="0" applyFont="1" applyFill="1" applyAlignment="1">
      <alignment vertical="top"/>
    </xf>
    <xf numFmtId="0" fontId="4" fillId="0" borderId="91" xfId="0" applyFont="1" applyFill="1" applyBorder="1"/>
    <xf numFmtId="49" fontId="22" fillId="0" borderId="66" xfId="2" quotePrefix="1" applyNumberFormat="1" applyFont="1" applyFill="1" applyBorder="1" applyAlignment="1">
      <alignment horizontal="center" vertical="center" wrapText="1"/>
    </xf>
    <xf numFmtId="167" fontId="5" fillId="0" borderId="92" xfId="2" applyNumberFormat="1" applyFont="1" applyBorder="1" applyAlignment="1">
      <alignment horizontal="center" vertical="center" wrapText="1"/>
    </xf>
    <xf numFmtId="167" fontId="4" fillId="0" borderId="92" xfId="2" applyNumberFormat="1" applyFont="1" applyBorder="1" applyAlignment="1">
      <alignment horizontal="left" vertical="center" wrapText="1"/>
    </xf>
    <xf numFmtId="167" fontId="5" fillId="0" borderId="92" xfId="2" applyNumberFormat="1" applyFont="1" applyBorder="1" applyAlignment="1">
      <alignment horizontal="left" vertical="center" wrapText="1"/>
    </xf>
    <xf numFmtId="3" fontId="5" fillId="0" borderId="92" xfId="2" applyNumberFormat="1" applyFont="1" applyBorder="1" applyAlignment="1">
      <alignment horizontal="right" vertical="center" wrapText="1"/>
    </xf>
    <xf numFmtId="0" fontId="62" fillId="0" borderId="92" xfId="0" applyFont="1" applyBorder="1" applyAlignment="1">
      <alignment horizontal="left" vertical="center" wrapText="1"/>
    </xf>
    <xf numFmtId="0" fontId="4" fillId="0" borderId="92" xfId="0" applyFont="1" applyBorder="1" applyAlignment="1">
      <alignment horizontal="center" vertical="center" wrapText="1"/>
    </xf>
    <xf numFmtId="3" fontId="4" fillId="0" borderId="92" xfId="0" applyNumberFormat="1" applyFont="1" applyBorder="1" applyAlignment="1">
      <alignment horizontal="right" vertical="center"/>
    </xf>
    <xf numFmtId="0" fontId="62" fillId="0" borderId="92" xfId="0" applyFont="1" applyBorder="1" applyAlignment="1">
      <alignment horizontal="justify" vertical="center" wrapText="1"/>
    </xf>
    <xf numFmtId="0" fontId="11" fillId="0" borderId="92" xfId="0" applyFont="1" applyBorder="1" applyAlignment="1" applyProtection="1">
      <alignment horizontal="left" vertical="center"/>
      <protection locked="0"/>
    </xf>
    <xf numFmtId="3" fontId="4" fillId="0" borderId="92" xfId="0" quotePrefix="1" applyNumberFormat="1" applyFont="1" applyBorder="1" applyAlignment="1">
      <alignment horizontal="right" vertical="center"/>
    </xf>
    <xf numFmtId="3" fontId="62" fillId="0" borderId="92" xfId="0" applyNumberFormat="1" applyFont="1" applyBorder="1" applyAlignment="1">
      <alignment horizontal="right" vertical="center"/>
    </xf>
    <xf numFmtId="0" fontId="4" fillId="0" borderId="92" xfId="0" applyFont="1" applyBorder="1" applyAlignment="1">
      <alignment horizontal="left" vertical="center" wrapText="1"/>
    </xf>
    <xf numFmtId="3" fontId="4" fillId="0" borderId="92" xfId="8" applyNumberFormat="1" applyFont="1" applyFill="1" applyBorder="1" applyAlignment="1">
      <alignment horizontal="right" vertical="center"/>
    </xf>
    <xf numFmtId="0" fontId="4" fillId="0" borderId="92" xfId="0" applyFont="1" applyBorder="1" applyAlignment="1">
      <alignment horizontal="justify" vertical="center" wrapText="1"/>
    </xf>
    <xf numFmtId="0" fontId="5" fillId="0" borderId="92" xfId="0" applyFont="1" applyBorder="1" applyAlignment="1">
      <alignment horizontal="center" vertical="center" wrapText="1"/>
    </xf>
    <xf numFmtId="0" fontId="5" fillId="0" borderId="92" xfId="0" applyFont="1" applyFill="1" applyBorder="1" applyAlignment="1">
      <alignment horizontal="left" vertical="center" wrapText="1"/>
    </xf>
    <xf numFmtId="3" fontId="5" fillId="0" borderId="92" xfId="0" applyNumberFormat="1" applyFont="1" applyBorder="1" applyAlignment="1">
      <alignment horizontal="right" vertical="center"/>
    </xf>
    <xf numFmtId="0" fontId="5" fillId="0" borderId="92" xfId="0" applyFont="1" applyBorder="1" applyAlignment="1">
      <alignment vertical="center"/>
    </xf>
    <xf numFmtId="0" fontId="11" fillId="0" borderId="92" xfId="0" applyFont="1" applyBorder="1" applyAlignment="1">
      <alignment horizontal="center" vertical="center" wrapText="1"/>
    </xf>
    <xf numFmtId="0" fontId="11" fillId="0" borderId="92" xfId="0" applyFont="1" applyBorder="1" applyAlignment="1">
      <alignment horizontal="justify" vertical="center" wrapText="1"/>
    </xf>
    <xf numFmtId="3" fontId="11" fillId="0" borderId="92" xfId="0" applyNumberFormat="1" applyFont="1" applyBorder="1" applyAlignment="1">
      <alignment horizontal="right" vertical="center"/>
    </xf>
    <xf numFmtId="0" fontId="11" fillId="0" borderId="92" xfId="0" applyFont="1" applyBorder="1" applyAlignment="1">
      <alignment vertical="center"/>
    </xf>
    <xf numFmtId="0" fontId="11" fillId="3" borderId="92" xfId="0" applyFont="1" applyFill="1" applyBorder="1" applyAlignment="1">
      <alignment horizontal="justify" vertical="center" wrapText="1"/>
    </xf>
    <xf numFmtId="0" fontId="11" fillId="0" borderId="92" xfId="0" applyFont="1" applyBorder="1" applyAlignment="1">
      <alignment vertical="center" wrapText="1"/>
    </xf>
    <xf numFmtId="0" fontId="4" fillId="0" borderId="92" xfId="0" applyFont="1" applyBorder="1" applyAlignment="1">
      <alignment vertical="center"/>
    </xf>
    <xf numFmtId="3" fontId="11" fillId="0" borderId="92" xfId="6" applyNumberFormat="1" applyFont="1" applyBorder="1" applyAlignment="1">
      <alignment horizontal="right" vertical="top"/>
    </xf>
    <xf numFmtId="3" fontId="11" fillId="3" borderId="92" xfId="6" applyNumberFormat="1" applyFont="1" applyFill="1" applyBorder="1" applyAlignment="1">
      <alignment horizontal="right" vertical="top"/>
    </xf>
    <xf numFmtId="3" fontId="11" fillId="3" borderId="92" xfId="6" applyNumberFormat="1" applyFont="1" applyFill="1" applyBorder="1" applyAlignment="1">
      <alignment horizontal="right" vertical="center" wrapText="1"/>
    </xf>
    <xf numFmtId="0" fontId="25" fillId="11" borderId="92" xfId="6" applyFont="1" applyFill="1" applyBorder="1" applyAlignment="1">
      <alignment horizontal="center" vertical="center" wrapText="1"/>
    </xf>
    <xf numFmtId="3" fontId="11" fillId="11" borderId="92" xfId="6" applyNumberFormat="1" applyFont="1" applyFill="1" applyBorder="1" applyAlignment="1">
      <alignment horizontal="right" vertical="top"/>
    </xf>
    <xf numFmtId="0" fontId="25" fillId="0" borderId="92" xfId="6" applyFont="1" applyBorder="1" applyAlignment="1">
      <alignment horizontal="center" vertical="center" wrapText="1"/>
    </xf>
    <xf numFmtId="3" fontId="25" fillId="0" borderId="92" xfId="6" applyNumberFormat="1" applyFont="1" applyBorder="1" applyAlignment="1">
      <alignment horizontal="center" vertical="center" wrapText="1"/>
    </xf>
    <xf numFmtId="3" fontId="25" fillId="0" borderId="92" xfId="6" applyNumberFormat="1" applyFont="1" applyBorder="1" applyAlignment="1">
      <alignment horizontal="right" vertical="center" wrapText="1"/>
    </xf>
    <xf numFmtId="3" fontId="25" fillId="3" borderId="92" xfId="6" applyNumberFormat="1" applyFont="1" applyFill="1" applyBorder="1" applyAlignment="1">
      <alignment horizontal="right" vertical="center" wrapText="1"/>
    </xf>
    <xf numFmtId="164" fontId="4" fillId="0" borderId="5" xfId="0" applyNumberFormat="1" applyFont="1" applyBorder="1" applyAlignment="1">
      <alignment vertical="center" wrapText="1"/>
    </xf>
    <xf numFmtId="3" fontId="4" fillId="0" borderId="5" xfId="0" applyNumberFormat="1" applyFont="1" applyBorder="1" applyAlignment="1">
      <alignment vertical="center" wrapText="1"/>
    </xf>
    <xf numFmtId="0" fontId="4" fillId="0" borderId="5" xfId="0" applyFont="1" applyBorder="1" applyAlignment="1">
      <alignment horizontal="justify" vertical="center" wrapText="1"/>
    </xf>
    <xf numFmtId="41" fontId="4" fillId="0" borderId="5" xfId="8" applyFont="1" applyBorder="1" applyAlignment="1">
      <alignment horizontal="center" vertical="center" wrapText="1"/>
    </xf>
    <xf numFmtId="0" fontId="5" fillId="0" borderId="53" xfId="0" applyFont="1" applyBorder="1" applyAlignment="1">
      <alignment horizontal="justify" vertical="center" wrapText="1"/>
    </xf>
    <xf numFmtId="164" fontId="5" fillId="0" borderId="46" xfId="0" applyNumberFormat="1" applyFont="1" applyBorder="1" applyAlignment="1">
      <alignment horizontal="center" vertical="center" wrapText="1"/>
    </xf>
    <xf numFmtId="41" fontId="4" fillId="0" borderId="46" xfId="8" applyFont="1" applyBorder="1" applyAlignment="1">
      <alignment horizontal="center" vertical="center" wrapText="1"/>
    </xf>
    <xf numFmtId="3" fontId="34" fillId="0" borderId="21" xfId="1" applyNumberFormat="1" applyFont="1" applyBorder="1" applyAlignment="1">
      <alignment horizontal="right" vertical="center" wrapText="1"/>
    </xf>
    <xf numFmtId="0" fontId="11" fillId="0" borderId="5" xfId="6" applyFont="1" applyBorder="1" applyAlignment="1">
      <alignment horizontal="justify" vertical="center" wrapText="1"/>
    </xf>
    <xf numFmtId="3" fontId="34" fillId="0" borderId="0" xfId="1" applyNumberFormat="1" applyFont="1" applyBorder="1" applyAlignment="1">
      <alignment horizontal="right" vertical="center" wrapText="1"/>
    </xf>
    <xf numFmtId="3" fontId="20" fillId="0" borderId="53" xfId="0" applyNumberFormat="1" applyFont="1" applyBorder="1" applyAlignment="1">
      <alignment horizontal="center" vertical="center" wrapText="1"/>
    </xf>
    <xf numFmtId="41" fontId="4" fillId="0" borderId="53" xfId="8" applyFont="1" applyBorder="1" applyAlignment="1">
      <alignment horizontal="center" vertical="center" wrapText="1"/>
    </xf>
    <xf numFmtId="167" fontId="4" fillId="0" borderId="30" xfId="2" applyNumberFormat="1" applyFont="1" applyBorder="1" applyAlignment="1">
      <alignment horizontal="right" vertical="center" wrapText="1"/>
    </xf>
    <xf numFmtId="172" fontId="4" fillId="0" borderId="30" xfId="8" applyNumberFormat="1" applyFont="1" applyBorder="1" applyAlignment="1">
      <alignment horizontal="right" vertical="center" wrapText="1"/>
    </xf>
    <xf numFmtId="3" fontId="4" fillId="0" borderId="30" xfId="2" applyNumberFormat="1" applyFont="1" applyBorder="1" applyAlignment="1">
      <alignment horizontal="right" vertical="center" wrapText="1"/>
    </xf>
    <xf numFmtId="0" fontId="25" fillId="0" borderId="72" xfId="6" applyFont="1" applyBorder="1" applyAlignment="1">
      <alignment horizontal="justify" vertical="center"/>
    </xf>
    <xf numFmtId="0" fontId="31" fillId="0" borderId="0" xfId="0" applyFont="1" applyBorder="1" applyAlignment="1">
      <alignment vertical="center"/>
    </xf>
    <xf numFmtId="0" fontId="32" fillId="0" borderId="0" xfId="0" applyFont="1" applyBorder="1" applyAlignment="1">
      <alignment horizontal="center" vertical="center"/>
    </xf>
    <xf numFmtId="167" fontId="4" fillId="0" borderId="92" xfId="2" applyNumberFormat="1" applyFont="1" applyBorder="1" applyAlignment="1">
      <alignment horizontal="center" vertical="center" wrapText="1"/>
    </xf>
    <xf numFmtId="167" fontId="11" fillId="0" borderId="92" xfId="2" applyNumberFormat="1" applyFont="1" applyBorder="1" applyAlignment="1">
      <alignment horizontal="center" vertical="center" wrapText="1"/>
    </xf>
    <xf numFmtId="41" fontId="4" fillId="0" borderId="92" xfId="8" applyNumberFormat="1" applyFont="1" applyBorder="1" applyAlignment="1">
      <alignment horizontal="center" vertical="center" wrapText="1"/>
    </xf>
    <xf numFmtId="41" fontId="11" fillId="0" borderId="92" xfId="8" applyNumberFormat="1" applyFont="1" applyBorder="1" applyAlignment="1">
      <alignment horizontal="center" vertical="center" wrapText="1"/>
    </xf>
    <xf numFmtId="41" fontId="11" fillId="0" borderId="92" xfId="8" applyNumberFormat="1" applyFont="1" applyBorder="1" applyAlignment="1">
      <alignment horizontal="right" vertical="center" wrapText="1"/>
    </xf>
    <xf numFmtId="0" fontId="4" fillId="0" borderId="92" xfId="0" applyFont="1" applyBorder="1" applyAlignment="1">
      <alignment horizontal="right" vertical="center" wrapText="1"/>
    </xf>
    <xf numFmtId="3" fontId="4" fillId="0" borderId="92" xfId="0" applyNumberFormat="1" applyFont="1" applyBorder="1" applyAlignment="1">
      <alignment horizontal="right" vertical="center" wrapText="1"/>
    </xf>
    <xf numFmtId="0" fontId="5" fillId="0" borderId="92" xfId="0" applyFont="1" applyBorder="1" applyAlignment="1">
      <alignment horizontal="justify" vertical="center" wrapText="1"/>
    </xf>
    <xf numFmtId="0" fontId="16" fillId="0" borderId="0" xfId="0" applyFont="1" applyAlignment="1">
      <alignment vertical="center"/>
    </xf>
    <xf numFmtId="0" fontId="3" fillId="0" borderId="92" xfId="0" applyFont="1" applyBorder="1" applyAlignment="1">
      <alignment vertical="center"/>
    </xf>
    <xf numFmtId="0" fontId="9" fillId="0" borderId="0" xfId="0" applyFont="1" applyAlignment="1">
      <alignment vertical="center"/>
    </xf>
    <xf numFmtId="0" fontId="9" fillId="0" borderId="55" xfId="0" applyFont="1" applyBorder="1" applyAlignment="1">
      <alignment vertical="center"/>
    </xf>
    <xf numFmtId="0" fontId="34" fillId="0" borderId="95" xfId="7" applyFont="1" applyBorder="1" applyAlignment="1">
      <alignment horizontal="center" vertical="center"/>
    </xf>
    <xf numFmtId="0" fontId="34" fillId="0" borderId="95" xfId="7" applyFont="1" applyBorder="1" applyAlignment="1">
      <alignment vertical="center"/>
    </xf>
    <xf numFmtId="17" fontId="34" fillId="0" borderId="67" xfId="7" applyNumberFormat="1" applyFont="1" applyBorder="1" applyAlignment="1">
      <alignment horizontal="left" vertical="center" wrapText="1"/>
    </xf>
    <xf numFmtId="0" fontId="34" fillId="3" borderId="76" xfId="7" applyFont="1" applyFill="1" applyBorder="1" applyAlignment="1">
      <alignment horizontal="center" vertical="center" wrapText="1"/>
    </xf>
    <xf numFmtId="0" fontId="34" fillId="3" borderId="68" xfId="7" applyFont="1" applyFill="1" applyBorder="1" applyAlignment="1">
      <alignment horizontal="center" vertical="center" wrapText="1"/>
    </xf>
    <xf numFmtId="0" fontId="34" fillId="3" borderId="67" xfId="7" applyFont="1" applyFill="1" applyBorder="1" applyAlignment="1">
      <alignment horizontal="left" vertical="center" wrapText="1"/>
    </xf>
    <xf numFmtId="0" fontId="34" fillId="3" borderId="67" xfId="7" applyFont="1" applyFill="1" applyBorder="1" applyAlignment="1">
      <alignment horizontal="center" vertical="center" wrapText="1"/>
    </xf>
    <xf numFmtId="0" fontId="34" fillId="0" borderId="95" xfId="7" applyFont="1" applyBorder="1" applyAlignment="1">
      <alignment horizontal="center" vertical="center" wrapText="1"/>
    </xf>
    <xf numFmtId="0" fontId="34" fillId="0" borderId="101" xfId="7" applyFont="1" applyBorder="1" applyAlignment="1">
      <alignment horizontal="center" vertical="center" wrapText="1"/>
    </xf>
    <xf numFmtId="0" fontId="34" fillId="3" borderId="95" xfId="7" applyFont="1" applyFill="1" applyBorder="1" applyAlignment="1">
      <alignment horizontal="center" vertical="center" wrapText="1"/>
    </xf>
    <xf numFmtId="0" fontId="34" fillId="3" borderId="95" xfId="7" applyFont="1" applyFill="1" applyBorder="1" applyAlignment="1">
      <alignment horizontal="left" vertical="center" wrapText="1"/>
    </xf>
    <xf numFmtId="0" fontId="34" fillId="3" borderId="68" xfId="7" applyFont="1" applyFill="1" applyBorder="1" applyAlignment="1">
      <alignment horizontal="left" vertical="center" wrapText="1"/>
    </xf>
    <xf numFmtId="0" fontId="33" fillId="3" borderId="68" xfId="7" applyFont="1" applyFill="1" applyBorder="1" applyAlignment="1">
      <alignment horizontal="center" vertical="center" wrapText="1"/>
    </xf>
    <xf numFmtId="0" fontId="34" fillId="0" borderId="66" xfId="7" applyFont="1" applyBorder="1" applyAlignment="1">
      <alignment horizontal="center" vertical="center" wrapText="1"/>
    </xf>
    <xf numFmtId="0" fontId="34" fillId="0" borderId="81" xfId="7" applyFont="1" applyBorder="1" applyAlignment="1">
      <alignment horizontal="left" vertical="center" wrapText="1"/>
    </xf>
    <xf numFmtId="0" fontId="34" fillId="0" borderId="82" xfId="7" applyFont="1" applyBorder="1" applyAlignment="1">
      <alignment horizontal="center" vertical="center" wrapText="1"/>
    </xf>
    <xf numFmtId="0" fontId="34" fillId="0" borderId="75" xfId="7" applyFont="1" applyBorder="1" applyAlignment="1">
      <alignment horizontal="center" vertical="center" wrapText="1"/>
    </xf>
    <xf numFmtId="0" fontId="34" fillId="3" borderId="92" xfId="7" applyFont="1" applyFill="1" applyBorder="1" applyAlignment="1">
      <alignment horizontal="left" vertical="center" wrapText="1"/>
    </xf>
    <xf numFmtId="0" fontId="34" fillId="3" borderId="92" xfId="7" applyFont="1" applyFill="1" applyBorder="1" applyAlignment="1">
      <alignment horizontal="center" vertical="center" wrapText="1"/>
    </xf>
    <xf numFmtId="0" fontId="34" fillId="0" borderId="92" xfId="7" applyFont="1" applyBorder="1" applyAlignment="1">
      <alignment horizontal="left" vertical="center" wrapText="1"/>
    </xf>
    <xf numFmtId="0" fontId="34" fillId="0" borderId="92" xfId="7" applyFont="1" applyBorder="1" applyAlignment="1">
      <alignment horizontal="center" vertical="center" wrapText="1"/>
    </xf>
    <xf numFmtId="41" fontId="28" fillId="0" borderId="57" xfId="8" applyFont="1" applyBorder="1" applyAlignment="1">
      <alignment horizontal="right" vertical="center" wrapText="1"/>
    </xf>
    <xf numFmtId="0" fontId="3" fillId="0" borderId="57" xfId="0" applyFont="1" applyBorder="1" applyAlignment="1">
      <alignment horizontal="right" vertical="center" wrapText="1"/>
    </xf>
    <xf numFmtId="3" fontId="3" fillId="0" borderId="57" xfId="0" applyNumberFormat="1" applyFont="1" applyBorder="1" applyAlignment="1">
      <alignment horizontal="right" vertical="center" wrapText="1"/>
    </xf>
    <xf numFmtId="0" fontId="28" fillId="0" borderId="60" xfId="0" applyFont="1" applyBorder="1" applyAlignment="1">
      <alignment horizontal="center" vertical="top" wrapText="1"/>
    </xf>
    <xf numFmtId="0" fontId="28" fillId="0" borderId="57" xfId="6" applyFont="1" applyBorder="1" applyAlignment="1">
      <alignment horizontal="justify" vertical="top" wrapText="1"/>
    </xf>
    <xf numFmtId="0" fontId="28" fillId="0" borderId="57" xfId="0" applyFont="1" applyBorder="1" applyAlignment="1">
      <alignment horizontal="justify" vertical="top" wrapText="1"/>
    </xf>
    <xf numFmtId="3" fontId="15" fillId="0" borderId="57" xfId="0" applyNumberFormat="1" applyFont="1" applyBorder="1" applyAlignment="1">
      <alignment horizontal="right" vertical="top" wrapText="1"/>
    </xf>
    <xf numFmtId="0" fontId="16" fillId="0" borderId="57" xfId="0" applyFont="1" applyBorder="1" applyAlignment="1">
      <alignment horizontal="right" vertical="center" wrapText="1"/>
    </xf>
    <xf numFmtId="0" fontId="28" fillId="0" borderId="61" xfId="0" applyFont="1" applyBorder="1" applyAlignment="1">
      <alignment vertical="center"/>
    </xf>
    <xf numFmtId="0" fontId="16" fillId="0" borderId="60"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18" xfId="0" applyFont="1" applyBorder="1" applyAlignment="1">
      <alignment horizontal="justify" vertical="center" wrapText="1"/>
    </xf>
    <xf numFmtId="0" fontId="3" fillId="0" borderId="18" xfId="0" applyFont="1" applyBorder="1" applyAlignment="1">
      <alignment horizontal="center" vertical="center" wrapText="1"/>
    </xf>
    <xf numFmtId="0" fontId="3" fillId="0" borderId="43" xfId="0" applyFont="1" applyBorder="1" applyAlignment="1">
      <alignment vertical="center"/>
    </xf>
    <xf numFmtId="0" fontId="28" fillId="0" borderId="61" xfId="0" applyFont="1" applyBorder="1" applyAlignment="1">
      <alignment horizontal="left" vertical="center" wrapText="1"/>
    </xf>
    <xf numFmtId="3" fontId="33" fillId="3" borderId="21" xfId="0" applyNumberFormat="1" applyFont="1" applyFill="1" applyBorder="1" applyAlignment="1">
      <alignment wrapText="1"/>
    </xf>
    <xf numFmtId="3" fontId="4" fillId="0" borderId="92" xfId="2" applyNumberFormat="1" applyFont="1" applyBorder="1" applyAlignment="1">
      <alignment horizontal="right" vertical="center" wrapText="1"/>
    </xf>
    <xf numFmtId="3" fontId="11" fillId="0" borderId="92" xfId="2" applyNumberFormat="1" applyFont="1" applyBorder="1" applyAlignment="1">
      <alignment horizontal="right" vertical="center" wrapText="1"/>
    </xf>
    <xf numFmtId="3" fontId="5" fillId="0" borderId="92" xfId="0" applyNumberFormat="1" applyFont="1" applyBorder="1" applyAlignment="1">
      <alignment horizontal="right" vertical="center" wrapText="1"/>
    </xf>
    <xf numFmtId="1" fontId="42" fillId="0" borderId="0" xfId="0" applyNumberFormat="1" applyFont="1" applyAlignment="1">
      <alignment vertical="center"/>
    </xf>
    <xf numFmtId="1" fontId="38" fillId="0" borderId="0" xfId="0" applyNumberFormat="1" applyFont="1" applyAlignment="1">
      <alignment horizontal="right" vertical="center" wrapText="1"/>
    </xf>
    <xf numFmtId="1" fontId="38" fillId="0" borderId="0" xfId="0" applyNumberFormat="1" applyFont="1" applyAlignment="1">
      <alignment horizontal="left" vertical="top" wrapText="1"/>
    </xf>
    <xf numFmtId="1" fontId="9" fillId="0" borderId="0" xfId="0" applyNumberFormat="1" applyFont="1" applyAlignment="1">
      <alignment horizontal="center"/>
    </xf>
    <xf numFmtId="1" fontId="43" fillId="0" borderId="0" xfId="0" applyNumberFormat="1" applyFont="1" applyAlignment="1">
      <alignment vertical="center"/>
    </xf>
    <xf numFmtId="0" fontId="14" fillId="0" borderId="0" xfId="10" applyFont="1" applyAlignment="1">
      <alignment horizontal="center" vertical="center" wrapText="1"/>
    </xf>
    <xf numFmtId="0" fontId="14" fillId="0" borderId="0" xfId="10" applyFont="1" applyAlignment="1">
      <alignment vertical="center" wrapText="1"/>
    </xf>
    <xf numFmtId="0" fontId="14" fillId="0" borderId="0" xfId="10" applyFont="1" applyAlignment="1">
      <alignment horizontal="left" vertical="center" wrapText="1"/>
    </xf>
    <xf numFmtId="0" fontId="66" fillId="0" borderId="0" xfId="10" applyFont="1"/>
    <xf numFmtId="0" fontId="33" fillId="0" borderId="0" xfId="10" applyFont="1" applyAlignment="1">
      <alignment horizontal="right" vertical="center"/>
    </xf>
    <xf numFmtId="0" fontId="34" fillId="0" borderId="0" xfId="10" applyFont="1" applyAlignment="1">
      <alignment vertical="center"/>
    </xf>
    <xf numFmtId="0" fontId="1" fillId="0" borderId="0" xfId="0" applyFont="1"/>
    <xf numFmtId="0" fontId="44" fillId="0" borderId="0" xfId="10" applyFont="1" applyAlignment="1">
      <alignment wrapText="1"/>
    </xf>
    <xf numFmtId="3" fontId="33" fillId="0" borderId="4" xfId="0" applyNumberFormat="1" applyFont="1" applyBorder="1" applyAlignment="1">
      <alignment vertical="center"/>
    </xf>
    <xf numFmtId="3" fontId="34" fillId="0" borderId="26" xfId="0" applyNumberFormat="1" applyFont="1" applyBorder="1" applyAlignment="1">
      <alignment vertical="center"/>
    </xf>
    <xf numFmtId="3" fontId="33" fillId="0" borderId="38" xfId="0" applyNumberFormat="1" applyFont="1" applyBorder="1" applyAlignment="1">
      <alignment vertical="center"/>
    </xf>
    <xf numFmtId="3" fontId="34" fillId="0" borderId="30" xfId="0" applyNumberFormat="1" applyFont="1" applyBorder="1" applyAlignment="1">
      <alignment vertical="center"/>
    </xf>
    <xf numFmtId="3" fontId="34" fillId="0" borderId="33" xfId="0" applyNumberFormat="1" applyFont="1" applyBorder="1" applyAlignment="1">
      <alignment vertical="center"/>
    </xf>
    <xf numFmtId="0" fontId="33" fillId="0" borderId="4" xfId="0" applyFont="1" applyBorder="1" applyAlignment="1">
      <alignment vertical="center" wrapText="1"/>
    </xf>
    <xf numFmtId="0" fontId="5" fillId="0" borderId="0" xfId="0" applyFont="1" applyAlignment="1">
      <alignment vertical="center"/>
    </xf>
    <xf numFmtId="0" fontId="4" fillId="0" borderId="53" xfId="0" applyFont="1" applyBorder="1" applyAlignment="1">
      <alignment horizontal="right" vertical="center" wrapText="1"/>
    </xf>
    <xf numFmtId="41" fontId="4" fillId="0" borderId="5" xfId="8" applyFont="1" applyBorder="1" applyAlignment="1">
      <alignment horizontal="right" vertical="center" wrapText="1"/>
    </xf>
    <xf numFmtId="41" fontId="5" fillId="0" borderId="5" xfId="0" applyNumberFormat="1" applyFont="1" applyBorder="1" applyAlignment="1">
      <alignment horizontal="center" vertical="center" wrapText="1"/>
    </xf>
    <xf numFmtId="3" fontId="34" fillId="0" borderId="66" xfId="10" applyNumberFormat="1" applyFont="1" applyBorder="1" applyAlignment="1">
      <alignment horizontal="right" vertical="top" wrapText="1"/>
    </xf>
    <xf numFmtId="3" fontId="34" fillId="0" borderId="21" xfId="1" applyNumberFormat="1" applyFont="1" applyFill="1" applyBorder="1" applyAlignment="1">
      <alignment horizontal="right" vertical="center"/>
    </xf>
    <xf numFmtId="3" fontId="34" fillId="0" borderId="21" xfId="9" applyNumberFormat="1" applyFont="1" applyFill="1" applyBorder="1" applyAlignment="1">
      <alignment horizontal="right" vertical="center"/>
    </xf>
    <xf numFmtId="3" fontId="14" fillId="0" borderId="53" xfId="0" applyNumberFormat="1" applyFont="1" applyBorder="1" applyAlignment="1">
      <alignment horizontal="right" vertical="center" wrapText="1"/>
    </xf>
    <xf numFmtId="3" fontId="20" fillId="0" borderId="5" xfId="0" applyNumberFormat="1" applyFont="1" applyBorder="1" applyAlignment="1">
      <alignment horizontal="right" vertical="center" wrapText="1"/>
    </xf>
    <xf numFmtId="3" fontId="9" fillId="0" borderId="50" xfId="0" applyNumberFormat="1" applyFont="1" applyBorder="1" applyAlignment="1">
      <alignment horizontal="right" vertical="center"/>
    </xf>
    <xf numFmtId="41" fontId="5" fillId="0" borderId="5" xfId="8" applyFont="1" applyBorder="1" applyAlignment="1">
      <alignment horizontal="center" vertical="center" wrapText="1"/>
    </xf>
    <xf numFmtId="164" fontId="4" fillId="0" borderId="8" xfId="0" applyNumberFormat="1" applyFont="1" applyBorder="1" applyAlignment="1">
      <alignment vertical="center" wrapText="1"/>
    </xf>
    <xf numFmtId="3" fontId="4" fillId="0" borderId="5" xfId="0" applyNumberFormat="1" applyFont="1" applyBorder="1" applyAlignment="1">
      <alignment horizontal="right" vertical="center" wrapText="1"/>
    </xf>
    <xf numFmtId="0" fontId="5" fillId="0" borderId="0" xfId="0" applyFont="1" applyAlignment="1"/>
    <xf numFmtId="0" fontId="20" fillId="0" borderId="0" xfId="0" applyFont="1" applyAlignment="1">
      <alignment horizontal="center" vertical="center"/>
    </xf>
    <xf numFmtId="0" fontId="3" fillId="0" borderId="0" xfId="0" applyFont="1" applyAlignment="1">
      <alignment horizontal="center"/>
    </xf>
    <xf numFmtId="0" fontId="5" fillId="0" borderId="0" xfId="0" applyFont="1" applyAlignment="1">
      <alignment horizontal="center"/>
    </xf>
    <xf numFmtId="0" fontId="3" fillId="0" borderId="0" xfId="0" applyFont="1" applyFill="1" applyAlignment="1">
      <alignment horizontal="center"/>
    </xf>
    <xf numFmtId="0" fontId="5" fillId="0" borderId="0" xfId="0" applyFont="1" applyFill="1" applyAlignment="1">
      <alignment horizontal="center"/>
    </xf>
    <xf numFmtId="0" fontId="4" fillId="0" borderId="0" xfId="0" applyFont="1" applyAlignment="1">
      <alignment horizontal="center"/>
    </xf>
    <xf numFmtId="167" fontId="5" fillId="0" borderId="15" xfId="2" applyNumberFormat="1" applyFont="1" applyBorder="1" applyAlignment="1">
      <alignment horizontal="center" vertical="center" wrapText="1"/>
    </xf>
    <xf numFmtId="167" fontId="5" fillId="0" borderId="13" xfId="2" applyNumberFormat="1" applyFont="1" applyBorder="1" applyAlignment="1">
      <alignment horizontal="center" vertical="center" wrapText="1"/>
    </xf>
    <xf numFmtId="167" fontId="5" fillId="0" borderId="14" xfId="2" applyNumberFormat="1" applyFont="1" applyBorder="1" applyAlignment="1">
      <alignment horizontal="center" vertical="center" wrapText="1"/>
    </xf>
    <xf numFmtId="167" fontId="5" fillId="0" borderId="18" xfId="2" applyNumberFormat="1" applyFont="1" applyBorder="1" applyAlignment="1">
      <alignment horizontal="center" vertical="center" wrapText="1"/>
    </xf>
    <xf numFmtId="0" fontId="17" fillId="0" borderId="0" xfId="0" applyFont="1" applyFill="1"/>
    <xf numFmtId="0" fontId="18" fillId="0" borderId="0" xfId="0" applyFont="1" applyFill="1"/>
    <xf numFmtId="0" fontId="67" fillId="0" borderId="0" xfId="0" applyFont="1" applyFill="1" applyAlignment="1">
      <alignment vertical="top"/>
    </xf>
    <xf numFmtId="171" fontId="3" fillId="0" borderId="0" xfId="0" applyNumberFormat="1" applyFont="1" applyAlignment="1">
      <alignment horizontal="center"/>
    </xf>
    <xf numFmtId="171" fontId="4" fillId="0" borderId="0" xfId="0" applyNumberFormat="1" applyFont="1" applyAlignment="1">
      <alignment wrapText="1"/>
    </xf>
    <xf numFmtId="171" fontId="5" fillId="0" borderId="0" xfId="0" applyNumberFormat="1" applyFont="1" applyAlignment="1">
      <alignment horizontal="center"/>
    </xf>
    <xf numFmtId="171" fontId="6" fillId="0" borderId="0" xfId="0" applyNumberFormat="1" applyFont="1"/>
    <xf numFmtId="171" fontId="4" fillId="0" borderId="0" xfId="0" quotePrefix="1" applyNumberFormat="1" applyFont="1"/>
    <xf numFmtId="171" fontId="4" fillId="0" borderId="0" xfId="0" quotePrefix="1" applyNumberFormat="1" applyFont="1" applyAlignment="1">
      <alignment horizontal="left"/>
    </xf>
    <xf numFmtId="0" fontId="6" fillId="0" borderId="0" xfId="0" applyFont="1" applyFill="1" applyAlignment="1">
      <alignment horizontal="left"/>
    </xf>
    <xf numFmtId="0" fontId="4" fillId="0" borderId="0" xfId="0" applyFont="1" applyFill="1" applyAlignment="1">
      <alignment horizontal="left"/>
    </xf>
    <xf numFmtId="0" fontId="11" fillId="0" borderId="0" xfId="0" applyFont="1" applyFill="1" applyAlignment="1">
      <alignment horizontal="left"/>
    </xf>
    <xf numFmtId="0" fontId="0" fillId="0" borderId="0" xfId="0" applyFill="1" applyAlignment="1">
      <alignment horizontal="left"/>
    </xf>
    <xf numFmtId="3" fontId="6" fillId="0" borderId="0" xfId="0" applyNumberFormat="1" applyFont="1" applyFill="1"/>
    <xf numFmtId="3" fontId="4" fillId="0" borderId="0" xfId="0" applyNumberFormat="1" applyFont="1" applyFill="1" applyAlignment="1">
      <alignment wrapText="1"/>
    </xf>
    <xf numFmtId="3" fontId="11" fillId="0" borderId="0" xfId="0" applyNumberFormat="1" applyFont="1" applyFill="1" applyAlignment="1">
      <alignment wrapText="1"/>
    </xf>
    <xf numFmtId="3" fontId="0" fillId="0" borderId="0" xfId="0" applyNumberFormat="1" applyFill="1" applyAlignment="1">
      <alignment wrapText="1"/>
    </xf>
    <xf numFmtId="49" fontId="5" fillId="0" borderId="110" xfId="2" applyNumberFormat="1" applyFont="1" applyFill="1" applyBorder="1" applyAlignment="1">
      <alignment horizontal="center" vertical="center" wrapText="1"/>
    </xf>
    <xf numFmtId="49" fontId="5" fillId="0" borderId="92" xfId="2" quotePrefix="1" applyNumberFormat="1" applyFont="1" applyFill="1" applyBorder="1" applyAlignment="1">
      <alignment horizontal="left" vertical="center" wrapText="1"/>
    </xf>
    <xf numFmtId="49" fontId="5" fillId="0" borderId="92" xfId="2" quotePrefix="1" applyNumberFormat="1" applyFont="1" applyFill="1" applyBorder="1" applyAlignment="1">
      <alignment horizontal="center" vertical="center" wrapText="1"/>
    </xf>
    <xf numFmtId="49" fontId="5" fillId="0" borderId="92" xfId="2" applyNumberFormat="1" applyFont="1" applyFill="1" applyBorder="1" applyAlignment="1">
      <alignment horizontal="center" vertical="center" wrapText="1"/>
    </xf>
    <xf numFmtId="167" fontId="5" fillId="0" borderId="92" xfId="1" applyNumberFormat="1" applyFont="1" applyFill="1" applyBorder="1" applyAlignment="1">
      <alignment horizontal="left" vertical="center" wrapText="1"/>
    </xf>
    <xf numFmtId="167" fontId="24" fillId="0" borderId="92" xfId="1" applyNumberFormat="1" applyFont="1" applyFill="1" applyBorder="1" applyAlignment="1">
      <alignment vertical="center" wrapText="1"/>
    </xf>
    <xf numFmtId="167" fontId="5" fillId="0" borderId="92" xfId="1" applyNumberFormat="1" applyFont="1" applyFill="1" applyBorder="1" applyAlignment="1">
      <alignment horizontal="right" vertical="center" wrapText="1"/>
    </xf>
    <xf numFmtId="3" fontId="5" fillId="0" borderId="92" xfId="1" applyNumberFormat="1" applyFont="1" applyFill="1" applyBorder="1" applyAlignment="1">
      <alignment horizontal="right" vertical="center" wrapText="1"/>
    </xf>
    <xf numFmtId="167" fontId="5" fillId="0" borderId="92" xfId="1" applyNumberFormat="1" applyFont="1" applyFill="1" applyBorder="1" applyAlignment="1">
      <alignment vertical="center" wrapText="1"/>
    </xf>
    <xf numFmtId="3" fontId="5" fillId="0" borderId="92" xfId="0" applyNumberFormat="1" applyFont="1" applyFill="1" applyBorder="1" applyAlignment="1">
      <alignment horizontal="right" vertical="center" wrapText="1"/>
    </xf>
    <xf numFmtId="0" fontId="5" fillId="0" borderId="92" xfId="0" applyFont="1" applyFill="1" applyBorder="1" applyAlignment="1">
      <alignment horizontal="right" vertical="center" wrapText="1"/>
    </xf>
    <xf numFmtId="0" fontId="5" fillId="0" borderId="92" xfId="0" applyFont="1" applyFill="1" applyBorder="1" applyAlignment="1">
      <alignment horizontal="right" vertical="center"/>
    </xf>
    <xf numFmtId="0" fontId="4" fillId="0" borderId="92" xfId="0" applyFont="1" applyFill="1" applyBorder="1" applyAlignment="1">
      <alignment horizontal="left" vertical="center" wrapText="1"/>
    </xf>
    <xf numFmtId="3" fontId="4" fillId="0" borderId="92" xfId="0" applyNumberFormat="1" applyFont="1" applyFill="1" applyBorder="1" applyAlignment="1">
      <alignment horizontal="right" vertical="center"/>
    </xf>
    <xf numFmtId="3" fontId="4" fillId="0" borderId="92" xfId="0" applyNumberFormat="1" applyFont="1" applyFill="1" applyBorder="1" applyAlignment="1">
      <alignment horizontal="right" vertical="center" wrapText="1"/>
    </xf>
    <xf numFmtId="167" fontId="4" fillId="0" borderId="92" xfId="1" applyNumberFormat="1" applyFont="1" applyFill="1" applyBorder="1" applyAlignment="1">
      <alignment vertical="center" wrapText="1"/>
    </xf>
    <xf numFmtId="0" fontId="4" fillId="0" borderId="92" xfId="0" applyFont="1" applyFill="1" applyBorder="1" applyAlignment="1">
      <alignment horizontal="right" vertical="center" wrapText="1"/>
    </xf>
    <xf numFmtId="2" fontId="4" fillId="0" borderId="92" xfId="0" applyNumberFormat="1" applyFont="1" applyFill="1" applyBorder="1" applyAlignment="1">
      <alignment horizontal="right" vertical="center" wrapText="1"/>
    </xf>
    <xf numFmtId="0" fontId="4" fillId="0" borderId="92" xfId="0" applyFont="1" applyFill="1" applyBorder="1" applyAlignment="1">
      <alignment horizontal="right" vertical="center"/>
    </xf>
    <xf numFmtId="3" fontId="5" fillId="0" borderId="92" xfId="0" applyNumberFormat="1" applyFont="1" applyFill="1" applyBorder="1" applyAlignment="1">
      <alignment horizontal="right" vertical="center"/>
    </xf>
    <xf numFmtId="49" fontId="5" fillId="0" borderId="111" xfId="2" quotePrefix="1" applyNumberFormat="1" applyFont="1" applyFill="1" applyBorder="1" applyAlignment="1">
      <alignment horizontal="left" vertical="center" wrapText="1"/>
    </xf>
    <xf numFmtId="49" fontId="5" fillId="0" borderId="112" xfId="2" quotePrefix="1" applyNumberFormat="1" applyFont="1" applyFill="1" applyBorder="1" applyAlignment="1">
      <alignment horizontal="center" vertical="center" wrapText="1"/>
    </xf>
    <xf numFmtId="49" fontId="5" fillId="0" borderId="112" xfId="2" applyNumberFormat="1" applyFont="1" applyFill="1" applyBorder="1" applyAlignment="1">
      <alignment horizontal="center" vertical="center" wrapText="1"/>
    </xf>
    <xf numFmtId="170" fontId="22" fillId="0" borderId="112" xfId="2" applyNumberFormat="1" applyFont="1" applyFill="1" applyBorder="1" applyAlignment="1">
      <alignment horizontal="center" vertical="center" wrapText="1"/>
    </xf>
    <xf numFmtId="3" fontId="5" fillId="0" borderId="112" xfId="2" applyNumberFormat="1" applyFont="1" applyFill="1" applyBorder="1" applyAlignment="1">
      <alignment horizontal="center" vertical="center" wrapText="1"/>
    </xf>
    <xf numFmtId="49" fontId="5" fillId="0" borderId="113" xfId="2" applyNumberFormat="1" applyFont="1" applyFill="1" applyBorder="1" applyAlignment="1">
      <alignment horizontal="center" vertical="center" wrapText="1"/>
    </xf>
    <xf numFmtId="167" fontId="5" fillId="0" borderId="114" xfId="1" applyNumberFormat="1" applyFont="1" applyFill="1" applyBorder="1" applyAlignment="1">
      <alignment horizontal="left" vertical="center" wrapText="1"/>
    </xf>
    <xf numFmtId="0" fontId="5" fillId="0" borderId="114" xfId="0" applyFont="1" applyFill="1" applyBorder="1" applyAlignment="1">
      <alignment horizontal="left" vertical="center" wrapText="1"/>
    </xf>
    <xf numFmtId="0" fontId="5" fillId="0" borderId="115" xfId="0" applyFont="1" applyFill="1" applyBorder="1" applyAlignment="1">
      <alignment horizontal="right" vertical="center"/>
    </xf>
    <xf numFmtId="168" fontId="4" fillId="0" borderId="114" xfId="0" applyNumberFormat="1" applyFont="1" applyFill="1" applyBorder="1" applyAlignment="1">
      <alignment horizontal="left" vertical="center" wrapText="1"/>
    </xf>
    <xf numFmtId="0" fontId="4" fillId="0" borderId="115" xfId="0" applyFont="1" applyFill="1" applyBorder="1" applyAlignment="1">
      <alignment horizontal="right" vertical="center"/>
    </xf>
    <xf numFmtId="168" fontId="4" fillId="0" borderId="116" xfId="0" applyNumberFormat="1" applyFont="1" applyFill="1" applyBorder="1" applyAlignment="1">
      <alignment horizontal="left" vertical="center" wrapText="1"/>
    </xf>
    <xf numFmtId="0" fontId="4" fillId="0" borderId="117" xfId="0" applyFont="1" applyFill="1" applyBorder="1" applyAlignment="1">
      <alignment horizontal="left" vertical="center" wrapText="1"/>
    </xf>
    <xf numFmtId="3" fontId="4" fillId="0" borderId="117" xfId="0" applyNumberFormat="1" applyFont="1" applyFill="1" applyBorder="1" applyAlignment="1">
      <alignment horizontal="right" vertical="center"/>
    </xf>
    <xf numFmtId="0" fontId="4" fillId="0" borderId="117" xfId="0" applyFont="1" applyFill="1" applyBorder="1" applyAlignment="1">
      <alignment horizontal="right" vertical="center" wrapText="1"/>
    </xf>
    <xf numFmtId="3" fontId="4" fillId="0" borderId="117" xfId="0" applyNumberFormat="1" applyFont="1" applyFill="1" applyBorder="1" applyAlignment="1">
      <alignment horizontal="right" vertical="center" wrapText="1"/>
    </xf>
    <xf numFmtId="2" fontId="4" fillId="0" borderId="117" xfId="0" applyNumberFormat="1" applyFont="1" applyFill="1" applyBorder="1" applyAlignment="1">
      <alignment horizontal="right" vertical="center" wrapText="1"/>
    </xf>
    <xf numFmtId="0" fontId="4" fillId="0" borderId="118" xfId="0" applyFont="1" applyFill="1" applyBorder="1" applyAlignment="1">
      <alignment horizontal="right" vertical="center"/>
    </xf>
    <xf numFmtId="0" fontId="4" fillId="0" borderId="92" xfId="0" applyFont="1" applyFill="1" applyBorder="1" applyAlignment="1">
      <alignment horizontal="left"/>
    </xf>
    <xf numFmtId="3" fontId="23" fillId="0" borderId="92" xfId="0" applyNumberFormat="1" applyFont="1" applyFill="1" applyBorder="1" applyAlignment="1">
      <alignment vertical="center"/>
    </xf>
    <xf numFmtId="0" fontId="4" fillId="0" borderId="8" xfId="0" applyFont="1" applyBorder="1" applyAlignment="1">
      <alignment vertical="center" wrapText="1"/>
    </xf>
    <xf numFmtId="167" fontId="4" fillId="0" borderId="8" xfId="2" applyNumberFormat="1" applyFont="1" applyBorder="1" applyAlignment="1">
      <alignment vertical="center" wrapText="1"/>
    </xf>
    <xf numFmtId="3" fontId="14" fillId="6" borderId="21" xfId="0" applyNumberFormat="1" applyFont="1" applyFill="1" applyBorder="1" applyAlignment="1">
      <alignment vertical="center"/>
    </xf>
    <xf numFmtId="3" fontId="20" fillId="6" borderId="21" xfId="0" applyNumberFormat="1" applyFont="1" applyFill="1" applyBorder="1" applyAlignment="1">
      <alignment vertical="center"/>
    </xf>
    <xf numFmtId="0" fontId="20" fillId="6" borderId="70" xfId="0" applyFont="1" applyFill="1" applyBorder="1" applyAlignment="1">
      <alignment vertical="center"/>
    </xf>
    <xf numFmtId="0" fontId="14" fillId="6" borderId="70" xfId="0" applyFont="1" applyFill="1" applyBorder="1" applyAlignment="1">
      <alignment vertical="center"/>
    </xf>
    <xf numFmtId="0" fontId="20" fillId="0" borderId="119" xfId="0" applyFont="1" applyBorder="1" applyAlignment="1">
      <alignment vertical="center"/>
    </xf>
    <xf numFmtId="0" fontId="20" fillId="0" borderId="90" xfId="0" applyFont="1" applyBorder="1" applyAlignment="1">
      <alignment vertical="center"/>
    </xf>
    <xf numFmtId="0" fontId="14" fillId="0" borderId="120" xfId="0" applyFont="1" applyBorder="1" applyAlignment="1">
      <alignment vertical="center"/>
    </xf>
    <xf numFmtId="0" fontId="14" fillId="0" borderId="90" xfId="0" applyFont="1" applyBorder="1" applyAlignment="1">
      <alignment horizontal="center" vertical="center" wrapText="1"/>
    </xf>
    <xf numFmtId="0" fontId="14" fillId="10" borderId="92" xfId="0" applyFont="1" applyFill="1" applyBorder="1" applyAlignment="1">
      <alignment horizontal="center" vertical="center"/>
    </xf>
    <xf numFmtId="3" fontId="20" fillId="10" borderId="92" xfId="0" applyNumberFormat="1" applyFont="1" applyFill="1" applyBorder="1" applyAlignment="1">
      <alignment horizontal="right" vertical="center"/>
    </xf>
    <xf numFmtId="0" fontId="34" fillId="0" borderId="92" xfId="10" applyFont="1" applyBorder="1" applyAlignment="1">
      <alignment horizontal="center" vertical="center"/>
    </xf>
    <xf numFmtId="0" fontId="34" fillId="0" borderId="92" xfId="10" applyFont="1" applyBorder="1" applyAlignment="1">
      <alignment vertical="center"/>
    </xf>
    <xf numFmtId="0" fontId="33" fillId="0" borderId="13" xfId="0" applyFont="1" applyBorder="1" applyAlignment="1">
      <alignment horizontal="center" vertical="center"/>
    </xf>
    <xf numFmtId="0" fontId="33" fillId="0" borderId="14" xfId="0" applyFont="1" applyBorder="1" applyAlignment="1">
      <alignment horizontal="center" vertical="center"/>
    </xf>
    <xf numFmtId="1" fontId="33" fillId="0" borderId="14" xfId="0" applyNumberFormat="1" applyFont="1" applyBorder="1" applyAlignment="1">
      <alignment horizontal="center" vertical="center" wrapText="1"/>
    </xf>
    <xf numFmtId="0" fontId="33" fillId="0" borderId="15" xfId="0" applyFont="1" applyBorder="1" applyAlignment="1">
      <alignment horizontal="center" vertical="center"/>
    </xf>
    <xf numFmtId="0" fontId="33" fillId="0" borderId="92" xfId="0" applyFont="1" applyBorder="1" applyAlignment="1">
      <alignment vertical="center"/>
    </xf>
    <xf numFmtId="3" fontId="33" fillId="0" borderId="92" xfId="0" applyNumberFormat="1" applyFont="1" applyBorder="1" applyAlignment="1">
      <alignment vertical="center"/>
    </xf>
    <xf numFmtId="0" fontId="33" fillId="0" borderId="92" xfId="0" applyFont="1" applyBorder="1" applyAlignment="1">
      <alignment horizontal="center" vertical="center"/>
    </xf>
    <xf numFmtId="3" fontId="20" fillId="0" borderId="92" xfId="0" applyNumberFormat="1" applyFont="1" applyBorder="1" applyAlignment="1">
      <alignment vertical="center"/>
    </xf>
    <xf numFmtId="0" fontId="14" fillId="0" borderId="92" xfId="0" applyFont="1" applyBorder="1" applyAlignment="1">
      <alignment horizontal="center" vertical="center"/>
    </xf>
    <xf numFmtId="0" fontId="34" fillId="0" borderId="92" xfId="0" applyFont="1" applyBorder="1" applyAlignment="1">
      <alignment horizontal="left" vertical="center" wrapText="1"/>
    </xf>
    <xf numFmtId="0" fontId="34" fillId="0" borderId="92" xfId="0" applyFont="1" applyBorder="1" applyAlignment="1">
      <alignment vertical="center"/>
    </xf>
    <xf numFmtId="0" fontId="34" fillId="3" borderId="92" xfId="0" applyFont="1" applyFill="1" applyBorder="1" applyAlignment="1">
      <alignment wrapText="1"/>
    </xf>
    <xf numFmtId="3" fontId="34" fillId="0" borderId="92" xfId="0" applyNumberFormat="1" applyFont="1" applyBorder="1" applyAlignment="1">
      <alignment vertical="center"/>
    </xf>
    <xf numFmtId="3" fontId="14" fillId="0" borderId="92" xfId="0" applyNumberFormat="1" applyFont="1" applyBorder="1" applyAlignment="1">
      <alignment vertical="center"/>
    </xf>
    <xf numFmtId="0" fontId="34" fillId="0" borderId="92" xfId="0" applyFont="1" applyBorder="1" applyAlignment="1">
      <alignment vertical="center" wrapText="1"/>
    </xf>
    <xf numFmtId="0" fontId="20" fillId="0" borderId="92" xfId="0" applyFont="1" applyBorder="1" applyAlignment="1">
      <alignment horizontal="center" vertical="center"/>
    </xf>
    <xf numFmtId="0" fontId="38" fillId="0" borderId="92" xfId="0" applyFont="1" applyBorder="1" applyAlignment="1">
      <alignment horizontal="center" vertical="center"/>
    </xf>
    <xf numFmtId="0" fontId="33" fillId="0" borderId="92" xfId="0" applyFont="1" applyBorder="1" applyAlignment="1">
      <alignment vertical="center" wrapText="1"/>
    </xf>
    <xf numFmtId="0" fontId="14" fillId="0" borderId="92" xfId="0" quotePrefix="1" applyFont="1" applyBorder="1" applyAlignment="1">
      <alignment horizontal="center" vertical="center"/>
    </xf>
    <xf numFmtId="0" fontId="20" fillId="0" borderId="92" xfId="0" quotePrefix="1" applyFont="1" applyBorder="1" applyAlignment="1">
      <alignment horizontal="center" vertical="center"/>
    </xf>
    <xf numFmtId="0" fontId="42" fillId="0" borderId="92" xfId="0" applyFont="1" applyBorder="1" applyAlignment="1">
      <alignment vertical="center"/>
    </xf>
    <xf numFmtId="1" fontId="14" fillId="0" borderId="92" xfId="0" applyNumberFormat="1" applyFont="1" applyBorder="1" applyAlignment="1">
      <alignment vertical="center"/>
    </xf>
    <xf numFmtId="0" fontId="34" fillId="0" borderId="117" xfId="10" applyFont="1" applyBorder="1" applyAlignment="1">
      <alignment vertical="center"/>
    </xf>
    <xf numFmtId="0" fontId="34" fillId="0" borderId="118" xfId="10" applyFont="1" applyBorder="1" applyAlignment="1">
      <alignment vertical="center"/>
    </xf>
    <xf numFmtId="0" fontId="14" fillId="0" borderId="92" xfId="0" applyFont="1" applyBorder="1" applyAlignment="1">
      <alignment vertical="center"/>
    </xf>
    <xf numFmtId="0" fontId="34" fillId="0" borderId="92" xfId="10" applyFont="1" applyBorder="1" applyAlignment="1">
      <alignment vertical="center" wrapText="1"/>
    </xf>
    <xf numFmtId="0" fontId="14" fillId="0" borderId="92" xfId="0" applyFont="1" applyBorder="1" applyAlignment="1">
      <alignment vertical="center" wrapText="1"/>
    </xf>
    <xf numFmtId="0" fontId="34" fillId="0" borderId="92" xfId="10" applyFont="1" applyBorder="1" applyAlignment="1">
      <alignment horizontal="left" vertical="center" wrapText="1"/>
    </xf>
    <xf numFmtId="0" fontId="34" fillId="0" borderId="92" xfId="10" applyFont="1" applyBorder="1" applyAlignment="1">
      <alignment horizontal="center" vertical="center" wrapText="1"/>
    </xf>
    <xf numFmtId="41" fontId="14" fillId="0" borderId="92" xfId="8" applyFont="1" applyBorder="1" applyAlignment="1">
      <alignment horizontal="center" vertical="center" wrapText="1"/>
    </xf>
    <xf numFmtId="0" fontId="34" fillId="0" borderId="92" xfId="0" applyFont="1" applyBorder="1" applyAlignment="1">
      <alignment horizontal="justify" vertical="center" wrapText="1"/>
    </xf>
    <xf numFmtId="0" fontId="39" fillId="0" borderId="92" xfId="0" applyFont="1" applyBorder="1" applyAlignment="1">
      <alignment vertical="center"/>
    </xf>
    <xf numFmtId="0" fontId="14" fillId="0" borderId="92" xfId="0" applyFont="1" applyBorder="1" applyAlignment="1">
      <alignment wrapText="1"/>
    </xf>
    <xf numFmtId="0" fontId="34" fillId="0" borderId="114" xfId="10" applyFont="1" applyBorder="1" applyAlignment="1">
      <alignment horizontal="center" vertical="center"/>
    </xf>
    <xf numFmtId="17" fontId="34" fillId="0" borderId="115" xfId="10" applyNumberFormat="1" applyFont="1" applyBorder="1" applyAlignment="1">
      <alignment horizontal="left" vertical="center"/>
    </xf>
    <xf numFmtId="0" fontId="14" fillId="0" borderId="115" xfId="0" applyFont="1" applyBorder="1" applyAlignment="1">
      <alignment horizontal="left" vertical="center"/>
    </xf>
    <xf numFmtId="0" fontId="34" fillId="0" borderId="116" xfId="10" applyFont="1" applyBorder="1" applyAlignment="1">
      <alignment horizontal="center" vertical="center"/>
    </xf>
    <xf numFmtId="0" fontId="33" fillId="0" borderId="117" xfId="10" applyFont="1" applyBorder="1" applyAlignment="1">
      <alignment horizontal="center" vertical="center" wrapText="1"/>
    </xf>
    <xf numFmtId="0" fontId="34" fillId="0" borderId="121" xfId="10" applyFont="1" applyBorder="1" applyAlignment="1">
      <alignment horizontal="center" vertical="center"/>
    </xf>
    <xf numFmtId="0" fontId="14" fillId="0" borderId="122" xfId="0" applyFont="1" applyBorder="1" applyAlignment="1">
      <alignment vertical="center"/>
    </xf>
    <xf numFmtId="0" fontId="34" fillId="0" borderId="122" xfId="10" applyFont="1" applyBorder="1" applyAlignment="1">
      <alignment horizontal="left" vertical="center"/>
    </xf>
    <xf numFmtId="0" fontId="34" fillId="0" borderId="122" xfId="10" applyFont="1" applyBorder="1" applyAlignment="1">
      <alignment horizontal="center" vertical="center"/>
    </xf>
    <xf numFmtId="0" fontId="34" fillId="0" borderId="122" xfId="10" applyFont="1" applyBorder="1" applyAlignment="1">
      <alignment vertical="center"/>
    </xf>
    <xf numFmtId="0" fontId="34" fillId="0" borderId="122" xfId="10" applyFont="1" applyBorder="1" applyAlignment="1">
      <alignment vertical="center" wrapText="1"/>
    </xf>
    <xf numFmtId="17" fontId="34" fillId="0" borderId="123" xfId="10" applyNumberFormat="1" applyFont="1" applyBorder="1" applyAlignment="1">
      <alignment horizontal="left" vertical="center"/>
    </xf>
    <xf numFmtId="0" fontId="33" fillId="0" borderId="124" xfId="10" applyFont="1" applyBorder="1" applyAlignment="1">
      <alignment horizontal="center" vertical="center"/>
    </xf>
    <xf numFmtId="0" fontId="33" fillId="0" borderId="125" xfId="10" applyFont="1" applyBorder="1" applyAlignment="1">
      <alignment horizontal="center" vertical="center" wrapText="1"/>
    </xf>
    <xf numFmtId="0" fontId="33" fillId="0" borderId="126" xfId="10" applyFont="1" applyBorder="1" applyAlignment="1">
      <alignment horizontal="center" vertical="center" wrapText="1"/>
    </xf>
    <xf numFmtId="167" fontId="5" fillId="0" borderId="111" xfId="2" applyNumberFormat="1" applyFont="1" applyBorder="1" applyAlignment="1">
      <alignment horizontal="center" vertical="center" wrapText="1"/>
    </xf>
    <xf numFmtId="167" fontId="5" fillId="0" borderId="112" xfId="2" applyNumberFormat="1" applyFont="1" applyBorder="1" applyAlignment="1">
      <alignment horizontal="center" vertical="center" wrapText="1"/>
    </xf>
    <xf numFmtId="167" fontId="5" fillId="0" borderId="113" xfId="2" applyNumberFormat="1" applyFont="1" applyBorder="1" applyAlignment="1">
      <alignment horizontal="center" vertical="center" wrapText="1"/>
    </xf>
    <xf numFmtId="0" fontId="5" fillId="0" borderId="114" xfId="0" applyFont="1" applyBorder="1" applyAlignment="1">
      <alignment horizontal="center" vertical="center"/>
    </xf>
    <xf numFmtId="167" fontId="4" fillId="0" borderId="115" xfId="2" applyNumberFormat="1" applyFont="1" applyBorder="1" applyAlignment="1">
      <alignment horizontal="center" vertical="center" wrapText="1"/>
    </xf>
    <xf numFmtId="0" fontId="4" fillId="0" borderId="114" xfId="0" applyFont="1" applyBorder="1" applyAlignment="1">
      <alignment horizontal="center" vertical="center"/>
    </xf>
    <xf numFmtId="0" fontId="11" fillId="0" borderId="114" xfId="0" applyFont="1" applyBorder="1" applyAlignment="1">
      <alignment horizontal="center" vertical="center"/>
    </xf>
    <xf numFmtId="167" fontId="11" fillId="0" borderId="115" xfId="2" applyNumberFormat="1" applyFont="1" applyBorder="1" applyAlignment="1">
      <alignment horizontal="center" vertical="center" wrapText="1"/>
    </xf>
    <xf numFmtId="0" fontId="11" fillId="0" borderId="114" xfId="0" quotePrefix="1" applyFont="1" applyBorder="1" applyAlignment="1">
      <alignment horizontal="center" vertical="center"/>
    </xf>
    <xf numFmtId="0" fontId="3" fillId="0" borderId="114" xfId="0" applyFont="1" applyBorder="1" applyAlignment="1">
      <alignment vertical="center"/>
    </xf>
    <xf numFmtId="0" fontId="4" fillId="0" borderId="115" xfId="0" applyFont="1" applyBorder="1" applyAlignment="1">
      <alignment vertical="center"/>
    </xf>
    <xf numFmtId="0" fontId="5" fillId="0" borderId="115" xfId="0" applyFont="1" applyBorder="1" applyAlignment="1">
      <alignment vertical="center"/>
    </xf>
    <xf numFmtId="0" fontId="4" fillId="0" borderId="114" xfId="0" applyFont="1" applyBorder="1" applyAlignment="1">
      <alignment horizontal="center" vertical="center" wrapText="1"/>
    </xf>
    <xf numFmtId="0" fontId="8" fillId="0" borderId="117" xfId="0" applyFont="1" applyBorder="1" applyAlignment="1">
      <alignment horizontal="center" vertical="center" wrapText="1"/>
    </xf>
    <xf numFmtId="0" fontId="4" fillId="0" borderId="117" xfId="0" applyFont="1" applyBorder="1" applyAlignment="1">
      <alignment horizontal="justify" vertical="center" wrapText="1"/>
    </xf>
    <xf numFmtId="3" fontId="5" fillId="0" borderId="117" xfId="0" applyNumberFormat="1" applyFont="1" applyBorder="1" applyAlignment="1">
      <alignment horizontal="right" vertical="center" wrapText="1"/>
    </xf>
    <xf numFmtId="0" fontId="4" fillId="0" borderId="118" xfId="0" applyFont="1" applyBorder="1" applyAlignment="1">
      <alignment vertical="center"/>
    </xf>
    <xf numFmtId="0" fontId="32" fillId="0" borderId="0" xfId="0" applyFont="1" applyBorder="1" applyAlignment="1">
      <alignment horizontal="right" vertical="center"/>
    </xf>
    <xf numFmtId="167" fontId="5" fillId="0" borderId="127" xfId="2" applyNumberFormat="1" applyFont="1" applyBorder="1" applyAlignment="1">
      <alignment horizontal="center" vertical="center" wrapText="1"/>
    </xf>
    <xf numFmtId="167" fontId="5" fillId="0" borderId="128" xfId="2" applyNumberFormat="1" applyFont="1" applyBorder="1" applyAlignment="1">
      <alignment horizontal="center" vertical="center" wrapText="1"/>
    </xf>
    <xf numFmtId="167" fontId="5" fillId="0" borderId="129" xfId="2" applyNumberFormat="1" applyFont="1" applyBorder="1" applyAlignment="1">
      <alignment horizontal="center" vertical="center" wrapText="1"/>
    </xf>
    <xf numFmtId="0" fontId="9" fillId="0" borderId="130" xfId="0" applyFont="1" applyBorder="1" applyAlignment="1">
      <alignment horizontal="center" vertical="center"/>
    </xf>
    <xf numFmtId="0" fontId="11" fillId="0" borderId="131" xfId="0" applyFont="1" applyBorder="1" applyAlignment="1">
      <alignment horizontal="center" vertical="center"/>
    </xf>
    <xf numFmtId="0" fontId="5" fillId="0" borderId="132" xfId="0" applyFont="1" applyBorder="1" applyAlignment="1">
      <alignment horizontal="center" vertical="center" wrapText="1"/>
    </xf>
    <xf numFmtId="0" fontId="5" fillId="0" borderId="133" xfId="0" applyFont="1" applyBorder="1" applyAlignment="1">
      <alignment vertical="center"/>
    </xf>
    <xf numFmtId="0" fontId="4" fillId="0" borderId="134" xfId="0" applyFont="1" applyBorder="1" applyAlignment="1">
      <alignment horizontal="center" vertical="center" wrapText="1"/>
    </xf>
    <xf numFmtId="0" fontId="5" fillId="0" borderId="135" xfId="0" applyFont="1" applyBorder="1" applyAlignment="1">
      <alignment vertical="center"/>
    </xf>
    <xf numFmtId="0" fontId="5" fillId="0" borderId="134" xfId="0" applyFont="1" applyBorder="1" applyAlignment="1">
      <alignment horizontal="center" vertical="center" wrapText="1"/>
    </xf>
    <xf numFmtId="0" fontId="4" fillId="0" borderId="135" xfId="0" applyFont="1" applyBorder="1" applyAlignment="1">
      <alignment vertical="center"/>
    </xf>
    <xf numFmtId="0" fontId="4" fillId="0" borderId="133" xfId="0" applyFont="1" applyBorder="1" applyAlignment="1">
      <alignment vertical="center"/>
    </xf>
    <xf numFmtId="0" fontId="5" fillId="0" borderId="132" xfId="0" applyFont="1" applyBorder="1" applyAlignment="1">
      <alignment horizontal="right" vertical="center" wrapText="1"/>
    </xf>
    <xf numFmtId="0" fontId="5" fillId="0" borderId="136" xfId="0" applyFont="1" applyBorder="1" applyAlignment="1">
      <alignment horizontal="right" vertical="center" wrapText="1"/>
    </xf>
    <xf numFmtId="0" fontId="4" fillId="0" borderId="137" xfId="0" applyFont="1" applyBorder="1" applyAlignment="1">
      <alignment vertical="center"/>
    </xf>
    <xf numFmtId="0" fontId="4" fillId="0" borderId="136" xfId="0" applyFont="1" applyBorder="1" applyAlignment="1">
      <alignment horizontal="right" vertical="center" wrapText="1"/>
    </xf>
    <xf numFmtId="0" fontId="4" fillId="0" borderId="139" xfId="0" applyFont="1" applyBorder="1" applyAlignment="1">
      <alignment horizontal="justify" vertical="center" wrapText="1"/>
    </xf>
    <xf numFmtId="0" fontId="4" fillId="0" borderId="139" xfId="0" applyFont="1" applyBorder="1" applyAlignment="1">
      <alignment horizontal="center" vertical="center" wrapText="1"/>
    </xf>
    <xf numFmtId="164" fontId="5" fillId="0" borderId="139" xfId="0" applyNumberFormat="1" applyFont="1" applyBorder="1" applyAlignment="1">
      <alignment horizontal="center" vertical="center" wrapText="1"/>
    </xf>
    <xf numFmtId="0" fontId="4" fillId="0" borderId="140" xfId="0" applyFont="1" applyBorder="1" applyAlignment="1">
      <alignment vertical="center"/>
    </xf>
    <xf numFmtId="49" fontId="5" fillId="0" borderId="105" xfId="2" quotePrefix="1" applyNumberFormat="1" applyFont="1" applyFill="1" applyBorder="1" applyAlignment="1">
      <alignment horizontal="center" vertical="center" wrapText="1"/>
    </xf>
    <xf numFmtId="49" fontId="5" fillId="0" borderId="108" xfId="2" applyNumberFormat="1" applyFont="1" applyFill="1" applyBorder="1" applyAlignment="1">
      <alignment horizontal="center" vertical="center" wrapText="1"/>
    </xf>
    <xf numFmtId="167" fontId="5" fillId="0" borderId="108" xfId="2" applyNumberFormat="1" applyFont="1" applyBorder="1" applyAlignment="1">
      <alignment horizontal="center" vertical="center" wrapText="1"/>
    </xf>
    <xf numFmtId="0" fontId="5" fillId="0" borderId="142" xfId="0" applyFont="1" applyBorder="1" applyAlignment="1">
      <alignment horizontal="center" vertical="center" wrapText="1"/>
    </xf>
    <xf numFmtId="3" fontId="5" fillId="0" borderId="142" xfId="0" applyNumberFormat="1" applyFont="1" applyBorder="1" applyAlignment="1">
      <alignment vertical="center"/>
    </xf>
    <xf numFmtId="0" fontId="5" fillId="0" borderId="143" xfId="0" applyFont="1" applyBorder="1" applyAlignment="1">
      <alignment vertical="center"/>
    </xf>
    <xf numFmtId="167" fontId="5" fillId="0" borderId="105" xfId="2" applyNumberFormat="1" applyFont="1" applyBorder="1" applyAlignment="1">
      <alignment vertical="center" wrapText="1"/>
    </xf>
    <xf numFmtId="49" fontId="5" fillId="0" borderId="109" xfId="2" quotePrefix="1" applyNumberFormat="1" applyFont="1" applyFill="1" applyBorder="1" applyAlignment="1">
      <alignment horizontal="center" vertical="center" wrapText="1"/>
    </xf>
    <xf numFmtId="167" fontId="5" fillId="0" borderId="114" xfId="2" applyNumberFormat="1" applyFont="1" applyBorder="1" applyAlignment="1">
      <alignment horizontal="center" vertical="center" wrapText="1"/>
    </xf>
    <xf numFmtId="167" fontId="5" fillId="0" borderId="115" xfId="2" applyNumberFormat="1" applyFont="1" applyBorder="1" applyAlignment="1">
      <alignment horizontal="center" vertical="center" wrapText="1"/>
    </xf>
    <xf numFmtId="0" fontId="4" fillId="0" borderId="115" xfId="0" applyFont="1" applyBorder="1" applyAlignment="1">
      <alignment horizontal="center" vertical="center"/>
    </xf>
    <xf numFmtId="0" fontId="4" fillId="0" borderId="115" xfId="0" applyFont="1" applyBorder="1" applyAlignment="1">
      <alignment horizontal="center" vertical="center" wrapText="1"/>
    </xf>
    <xf numFmtId="0" fontId="5" fillId="0" borderId="114" xfId="0" applyFont="1" applyBorder="1" applyAlignment="1">
      <alignment horizontal="center" vertical="center" wrapText="1"/>
    </xf>
    <xf numFmtId="0" fontId="11" fillId="0" borderId="114" xfId="0" applyFont="1" applyBorder="1" applyAlignment="1">
      <alignment horizontal="center" vertical="center" wrapText="1"/>
    </xf>
    <xf numFmtId="0" fontId="11" fillId="0" borderId="115" xfId="0" applyFont="1" applyBorder="1" applyAlignment="1">
      <alignment vertical="center"/>
    </xf>
    <xf numFmtId="0" fontId="11" fillId="0" borderId="115" xfId="0" applyFont="1" applyBorder="1" applyAlignment="1">
      <alignment vertical="center" wrapText="1"/>
    </xf>
    <xf numFmtId="0" fontId="25" fillId="0" borderId="114" xfId="0" applyFont="1" applyBorder="1" applyAlignment="1">
      <alignment horizontal="center" vertical="center" wrapText="1"/>
    </xf>
    <xf numFmtId="0" fontId="11" fillId="0" borderId="115" xfId="0" applyFont="1" applyBorder="1" applyAlignment="1">
      <alignment horizontal="left" vertical="center"/>
    </xf>
    <xf numFmtId="0" fontId="25" fillId="3" borderId="115" xfId="6" applyFont="1" applyFill="1" applyBorder="1" applyAlignment="1">
      <alignment vertical="distributed"/>
    </xf>
    <xf numFmtId="0" fontId="9" fillId="0" borderId="114" xfId="0" applyFont="1" applyBorder="1" applyAlignment="1">
      <alignment horizontal="center" vertical="center"/>
    </xf>
    <xf numFmtId="0" fontId="11" fillId="3" borderId="115" xfId="6" applyFont="1" applyFill="1" applyBorder="1" applyAlignment="1">
      <alignment horizontal="left" vertical="top"/>
    </xf>
    <xf numFmtId="0" fontId="11" fillId="3" borderId="115" xfId="6" applyFont="1" applyFill="1" applyBorder="1" applyAlignment="1">
      <alignment horizontal="left" vertical="top" wrapText="1"/>
    </xf>
    <xf numFmtId="3" fontId="11" fillId="0" borderId="115" xfId="0" applyNumberFormat="1" applyFont="1" applyBorder="1" applyAlignment="1">
      <alignment vertical="center"/>
    </xf>
    <xf numFmtId="3" fontId="11" fillId="0" borderId="115" xfId="0" applyNumberFormat="1" applyFont="1" applyBorder="1" applyAlignment="1">
      <alignment vertical="center" wrapText="1"/>
    </xf>
    <xf numFmtId="3" fontId="4" fillId="0" borderId="115" xfId="0" applyNumberFormat="1" applyFont="1" applyBorder="1" applyAlignment="1">
      <alignment vertical="center"/>
    </xf>
    <xf numFmtId="3" fontId="11" fillId="0" borderId="115" xfId="0" applyNumberFormat="1" applyFont="1" applyBorder="1" applyAlignment="1">
      <alignment horizontal="left" vertical="center"/>
    </xf>
    <xf numFmtId="168" fontId="4" fillId="0" borderId="0" xfId="0" applyNumberFormat="1" applyFont="1" applyFill="1" applyAlignment="1">
      <alignment wrapText="1"/>
    </xf>
    <xf numFmtId="168" fontId="4" fillId="0" borderId="92" xfId="0" applyNumberFormat="1" applyFont="1" applyFill="1" applyBorder="1" applyAlignment="1">
      <alignment vertical="center" wrapText="1"/>
    </xf>
    <xf numFmtId="168" fontId="4" fillId="0" borderId="114" xfId="0" applyNumberFormat="1" applyFont="1" applyFill="1" applyBorder="1" applyAlignment="1">
      <alignment vertical="center" wrapText="1"/>
    </xf>
    <xf numFmtId="168" fontId="3" fillId="0" borderId="0" xfId="0" applyNumberFormat="1" applyFont="1" applyFill="1" applyAlignment="1">
      <alignment horizontal="center"/>
    </xf>
    <xf numFmtId="0" fontId="0" fillId="0" borderId="0" xfId="0" applyFont="1" applyFill="1"/>
    <xf numFmtId="168" fontId="5" fillId="0" borderId="0" xfId="0" applyNumberFormat="1" applyFont="1" applyFill="1" applyAlignment="1">
      <alignment horizontal="center"/>
    </xf>
    <xf numFmtId="168" fontId="6" fillId="0" borderId="0" xfId="0" applyNumberFormat="1" applyFont="1" applyFill="1"/>
    <xf numFmtId="0" fontId="67" fillId="0" borderId="0" xfId="0" applyFont="1" applyFill="1"/>
    <xf numFmtId="168" fontId="5" fillId="0" borderId="92" xfId="2" applyNumberFormat="1" applyFont="1" applyFill="1" applyBorder="1" applyAlignment="1">
      <alignment horizontal="center" vertical="center" wrapText="1"/>
    </xf>
    <xf numFmtId="49" fontId="5" fillId="0" borderId="114" xfId="2" quotePrefix="1" applyNumberFormat="1" applyFont="1" applyFill="1" applyBorder="1" applyAlignment="1">
      <alignment horizontal="center" vertical="center" wrapText="1"/>
    </xf>
    <xf numFmtId="168" fontId="22" fillId="0" borderId="92" xfId="2" applyNumberFormat="1" applyFont="1" applyFill="1" applyBorder="1" applyAlignment="1">
      <alignment horizontal="center" vertical="center" wrapText="1"/>
    </xf>
    <xf numFmtId="49" fontId="5" fillId="0" borderId="115" xfId="2"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xf>
    <xf numFmtId="49" fontId="67" fillId="0" borderId="0" xfId="0" applyNumberFormat="1" applyFont="1" applyFill="1" applyAlignment="1">
      <alignment horizontal="center"/>
    </xf>
    <xf numFmtId="3" fontId="5" fillId="0" borderId="92" xfId="2" quotePrefix="1" applyNumberFormat="1" applyFont="1" applyFill="1" applyBorder="1" applyAlignment="1">
      <alignment horizontal="center" vertical="center" wrapText="1"/>
    </xf>
    <xf numFmtId="3" fontId="5" fillId="0" borderId="115" xfId="1" applyNumberFormat="1" applyFont="1" applyFill="1" applyBorder="1" applyAlignment="1">
      <alignment vertical="center" wrapText="1"/>
    </xf>
    <xf numFmtId="0" fontId="4" fillId="0" borderId="0" xfId="0" applyFont="1" applyFill="1" applyBorder="1"/>
    <xf numFmtId="167" fontId="5" fillId="0" borderId="114" xfId="1" applyNumberFormat="1" applyFont="1" applyFill="1" applyBorder="1" applyAlignment="1">
      <alignment vertical="center" wrapText="1"/>
    </xf>
    <xf numFmtId="3" fontId="5" fillId="0" borderId="115" xfId="1" applyNumberFormat="1" applyFont="1" applyFill="1" applyBorder="1" applyAlignment="1">
      <alignment horizontal="right" vertical="center" wrapText="1"/>
    </xf>
    <xf numFmtId="3" fontId="8" fillId="0" borderId="92" xfId="0" applyNumberFormat="1" applyFont="1" applyFill="1" applyBorder="1" applyAlignment="1">
      <alignment horizontal="right" vertical="center" wrapText="1"/>
    </xf>
    <xf numFmtId="3" fontId="8" fillId="0" borderId="92" xfId="0" applyNumberFormat="1" applyFont="1" applyFill="1" applyBorder="1" applyAlignment="1">
      <alignment horizontal="right" vertical="top" wrapText="1"/>
    </xf>
    <xf numFmtId="3" fontId="8" fillId="0" borderId="115" xfId="0" applyNumberFormat="1" applyFont="1" applyFill="1" applyBorder="1" applyAlignment="1">
      <alignment horizontal="right" vertical="top"/>
    </xf>
    <xf numFmtId="0" fontId="69" fillId="0" borderId="0" xfId="0" applyFont="1" applyFill="1" applyAlignment="1">
      <alignment vertical="top"/>
    </xf>
    <xf numFmtId="3" fontId="5" fillId="0" borderId="92" xfId="0" applyNumberFormat="1" applyFont="1" applyFill="1" applyBorder="1" applyAlignment="1">
      <alignment horizontal="right" vertical="top" wrapText="1"/>
    </xf>
    <xf numFmtId="3" fontId="5" fillId="0" borderId="115" xfId="0" applyNumberFormat="1" applyFont="1" applyFill="1" applyBorder="1" applyAlignment="1">
      <alignment horizontal="right" vertical="top"/>
    </xf>
    <xf numFmtId="0" fontId="61" fillId="0" borderId="0" xfId="0" applyFont="1" applyFill="1" applyAlignment="1">
      <alignment vertical="top"/>
    </xf>
    <xf numFmtId="3" fontId="5" fillId="0" borderId="115" xfId="0" applyNumberFormat="1" applyFont="1" applyFill="1" applyBorder="1" applyAlignment="1">
      <alignment horizontal="right" vertical="center"/>
    </xf>
    <xf numFmtId="0" fontId="61" fillId="0" borderId="0" xfId="0" applyFont="1" applyFill="1" applyAlignment="1">
      <alignment vertical="center"/>
    </xf>
    <xf numFmtId="3" fontId="5" fillId="0" borderId="92" xfId="1" applyNumberFormat="1" applyFont="1" applyFill="1" applyBorder="1" applyAlignment="1">
      <alignment vertical="center" wrapText="1"/>
    </xf>
    <xf numFmtId="168" fontId="5" fillId="0" borderId="92" xfId="1" applyNumberFormat="1" applyFont="1" applyFill="1" applyBorder="1" applyAlignment="1">
      <alignment vertical="center" wrapText="1"/>
    </xf>
    <xf numFmtId="0" fontId="8" fillId="0" borderId="114" xfId="0" applyFont="1" applyFill="1" applyBorder="1" applyAlignment="1">
      <alignment horizontal="center" vertical="top" wrapText="1"/>
    </xf>
    <xf numFmtId="0" fontId="8" fillId="0" borderId="92" xfId="0" applyFont="1" applyFill="1" applyBorder="1" applyAlignment="1">
      <alignment horizontal="left" vertical="top" wrapText="1"/>
    </xf>
    <xf numFmtId="3" fontId="8" fillId="0" borderId="92" xfId="0" applyNumberFormat="1" applyFont="1" applyFill="1" applyBorder="1" applyAlignment="1">
      <alignment vertical="center" wrapText="1"/>
    </xf>
    <xf numFmtId="168" fontId="8" fillId="0" borderId="92" xfId="0" applyNumberFormat="1" applyFont="1" applyFill="1" applyBorder="1" applyAlignment="1">
      <alignment vertical="center" wrapText="1"/>
    </xf>
    <xf numFmtId="3" fontId="8" fillId="0" borderId="92" xfId="0" applyNumberFormat="1" applyFont="1" applyFill="1" applyBorder="1" applyAlignment="1">
      <alignment vertical="top" wrapText="1"/>
    </xf>
    <xf numFmtId="3" fontId="8" fillId="0" borderId="115" xfId="0" applyNumberFormat="1" applyFont="1" applyFill="1" applyBorder="1" applyAlignment="1">
      <alignment vertical="top"/>
    </xf>
    <xf numFmtId="168" fontId="4" fillId="0" borderId="114" xfId="0" applyNumberFormat="1" applyFont="1" applyFill="1" applyBorder="1" applyAlignment="1">
      <alignment vertical="top" wrapText="1"/>
    </xf>
    <xf numFmtId="168" fontId="4" fillId="0" borderId="92" xfId="0" applyNumberFormat="1" applyFont="1" applyFill="1" applyBorder="1" applyAlignment="1">
      <alignment vertical="top" wrapText="1"/>
    </xf>
    <xf numFmtId="3" fontId="4" fillId="0" borderId="92" xfId="0" applyNumberFormat="1" applyFont="1" applyFill="1" applyBorder="1" applyAlignment="1">
      <alignment vertical="center"/>
    </xf>
    <xf numFmtId="168" fontId="4" fillId="0" borderId="92" xfId="0" applyNumberFormat="1" applyFont="1" applyFill="1" applyBorder="1" applyAlignment="1">
      <alignment vertical="center"/>
    </xf>
    <xf numFmtId="168" fontId="8" fillId="0" borderId="92" xfId="0" applyNumberFormat="1" applyFont="1" applyFill="1" applyBorder="1" applyAlignment="1">
      <alignment vertical="top" wrapText="1"/>
    </xf>
    <xf numFmtId="3" fontId="5" fillId="0" borderId="92" xfId="0" applyNumberFormat="1" applyFont="1" applyFill="1" applyBorder="1" applyAlignment="1">
      <alignment vertical="top" wrapText="1"/>
    </xf>
    <xf numFmtId="3" fontId="5" fillId="0" borderId="115" xfId="0" applyNumberFormat="1" applyFont="1" applyFill="1" applyBorder="1" applyAlignment="1">
      <alignment vertical="top" wrapText="1"/>
    </xf>
    <xf numFmtId="1" fontId="4" fillId="0" borderId="114" xfId="0" applyNumberFormat="1" applyFont="1" applyFill="1" applyBorder="1" applyAlignment="1">
      <alignment vertical="top" wrapText="1"/>
    </xf>
    <xf numFmtId="3" fontId="4" fillId="0" borderId="92" xfId="0" applyNumberFormat="1" applyFont="1" applyFill="1" applyBorder="1" applyAlignment="1">
      <alignment vertical="top" wrapText="1"/>
    </xf>
    <xf numFmtId="3" fontId="4" fillId="0" borderId="115" xfId="0" applyNumberFormat="1" applyFont="1" applyFill="1" applyBorder="1" applyAlignment="1">
      <alignment vertical="top"/>
    </xf>
    <xf numFmtId="168" fontId="6" fillId="0" borderId="114" xfId="0" applyNumberFormat="1" applyFont="1" applyFill="1" applyBorder="1" applyAlignment="1">
      <alignment vertical="top" wrapText="1"/>
    </xf>
    <xf numFmtId="3" fontId="8" fillId="0" borderId="92" xfId="0" applyNumberFormat="1" applyFont="1" applyFill="1" applyBorder="1" applyAlignment="1">
      <alignment vertical="center"/>
    </xf>
    <xf numFmtId="3" fontId="8" fillId="0" borderId="115" xfId="0" applyNumberFormat="1" applyFont="1" applyFill="1" applyBorder="1" applyAlignment="1">
      <alignment vertical="top" wrapText="1"/>
    </xf>
    <xf numFmtId="168" fontId="4" fillId="0" borderId="92" xfId="0" applyNumberFormat="1" applyFont="1" applyFill="1" applyBorder="1" applyAlignment="1">
      <alignment horizontal="left" vertical="top" wrapText="1"/>
    </xf>
    <xf numFmtId="0" fontId="4" fillId="0" borderId="92" xfId="0" applyFont="1" applyFill="1" applyBorder="1" applyAlignment="1">
      <alignment horizontal="justify" vertical="center"/>
    </xf>
    <xf numFmtId="3" fontId="5" fillId="0" borderId="92" xfId="0" applyNumberFormat="1" applyFont="1" applyFill="1" applyBorder="1" applyAlignment="1">
      <alignment vertical="center"/>
    </xf>
    <xf numFmtId="3" fontId="5" fillId="0" borderId="115" xfId="0" applyNumberFormat="1" applyFont="1" applyFill="1" applyBorder="1" applyAlignment="1">
      <alignment vertical="top"/>
    </xf>
    <xf numFmtId="0" fontId="4" fillId="0" borderId="92" xfId="0" applyFont="1" applyFill="1" applyBorder="1" applyAlignment="1">
      <alignment horizontal="left" vertical="top" wrapText="1"/>
    </xf>
    <xf numFmtId="3" fontId="4" fillId="0" borderId="92" xfId="0" applyNumberFormat="1" applyFont="1" applyFill="1" applyBorder="1" applyAlignment="1">
      <alignment vertical="center" wrapText="1"/>
    </xf>
    <xf numFmtId="1" fontId="5" fillId="0" borderId="114" xfId="0" applyNumberFormat="1" applyFont="1" applyFill="1" applyBorder="1" applyAlignment="1">
      <alignment vertical="top" wrapText="1"/>
    </xf>
    <xf numFmtId="0" fontId="5" fillId="0" borderId="92" xfId="0" applyFont="1" applyFill="1" applyBorder="1" applyAlignment="1">
      <alignment horizontal="left" vertical="top" wrapText="1"/>
    </xf>
    <xf numFmtId="3" fontId="5" fillId="0" borderId="92" xfId="0" applyNumberFormat="1" applyFont="1" applyFill="1" applyBorder="1" applyAlignment="1">
      <alignment vertical="center" wrapText="1"/>
    </xf>
    <xf numFmtId="168" fontId="5" fillId="0" borderId="92" xfId="0" applyNumberFormat="1" applyFont="1" applyFill="1" applyBorder="1" applyAlignment="1">
      <alignment vertical="center" wrapText="1"/>
    </xf>
    <xf numFmtId="0" fontId="8" fillId="0" borderId="114" xfId="0" applyFont="1" applyFill="1" applyBorder="1" applyAlignment="1">
      <alignment horizontal="left" vertical="top" wrapText="1"/>
    </xf>
    <xf numFmtId="3" fontId="6" fillId="0" borderId="92" xfId="0" applyNumberFormat="1" applyFont="1" applyFill="1" applyBorder="1" applyAlignment="1">
      <alignment vertical="center" wrapText="1"/>
    </xf>
    <xf numFmtId="168" fontId="6" fillId="0" borderId="92" xfId="0" applyNumberFormat="1" applyFont="1" applyFill="1" applyBorder="1" applyAlignment="1">
      <alignment vertical="center" wrapText="1"/>
    </xf>
    <xf numFmtId="3" fontId="6" fillId="0" borderId="92" xfId="0" applyNumberFormat="1" applyFont="1" applyFill="1" applyBorder="1" applyAlignment="1">
      <alignment vertical="top" wrapText="1"/>
    </xf>
    <xf numFmtId="3" fontId="6" fillId="0" borderId="115" xfId="0" applyNumberFormat="1" applyFont="1" applyFill="1" applyBorder="1" applyAlignment="1">
      <alignment vertical="top"/>
    </xf>
    <xf numFmtId="168" fontId="5" fillId="0" borderId="92" xfId="0" applyNumberFormat="1" applyFont="1" applyFill="1" applyBorder="1" applyAlignment="1">
      <alignment vertical="top" wrapText="1"/>
    </xf>
    <xf numFmtId="168" fontId="4" fillId="0" borderId="114" xfId="0" applyNumberFormat="1" applyFont="1" applyFill="1" applyBorder="1" applyAlignment="1">
      <alignment horizontal="left" vertical="top" wrapText="1"/>
    </xf>
    <xf numFmtId="0" fontId="4" fillId="0" borderId="92" xfId="0" applyFont="1" applyFill="1" applyBorder="1" applyAlignment="1" applyProtection="1">
      <alignment horizontal="left" vertical="top" wrapText="1"/>
      <protection locked="0"/>
    </xf>
    <xf numFmtId="1" fontId="8" fillId="0" borderId="114" xfId="0" applyNumberFormat="1" applyFont="1" applyFill="1" applyBorder="1" applyAlignment="1">
      <alignment horizontal="center" vertical="top" wrapText="1"/>
    </xf>
    <xf numFmtId="1" fontId="5" fillId="0" borderId="114" xfId="0" applyNumberFormat="1" applyFont="1" applyFill="1" applyBorder="1" applyAlignment="1">
      <alignment horizontal="center" vertical="top" wrapText="1"/>
    </xf>
    <xf numFmtId="3" fontId="5" fillId="0" borderId="115" xfId="0" applyNumberFormat="1" applyFont="1" applyFill="1" applyBorder="1" applyAlignment="1">
      <alignment vertical="center"/>
    </xf>
    <xf numFmtId="0" fontId="4" fillId="0" borderId="92" xfId="0" applyFont="1" applyFill="1" applyBorder="1" applyAlignment="1">
      <alignment vertical="top" wrapText="1"/>
    </xf>
    <xf numFmtId="3" fontId="4" fillId="0" borderId="92" xfId="0" applyNumberFormat="1" applyFont="1" applyFill="1" applyBorder="1" applyAlignment="1">
      <alignment wrapText="1"/>
    </xf>
    <xf numFmtId="168" fontId="4" fillId="0" borderId="92" xfId="0" applyNumberFormat="1" applyFont="1" applyFill="1" applyBorder="1" applyAlignment="1">
      <alignment wrapText="1"/>
    </xf>
    <xf numFmtId="0" fontId="70" fillId="0" borderId="0" xfId="0" applyFont="1" applyFill="1" applyAlignment="1">
      <alignment vertical="top"/>
    </xf>
    <xf numFmtId="3" fontId="4" fillId="0" borderId="115" xfId="0" applyNumberFormat="1" applyFont="1" applyFill="1" applyBorder="1" applyAlignment="1">
      <alignment vertical="center"/>
    </xf>
    <xf numFmtId="0" fontId="0" fillId="0" borderId="0" xfId="0" applyFont="1" applyFill="1" applyAlignment="1">
      <alignment vertical="center"/>
    </xf>
    <xf numFmtId="0" fontId="4" fillId="0" borderId="92" xfId="0" applyFont="1" applyFill="1" applyBorder="1" applyAlignment="1">
      <alignment vertical="top"/>
    </xf>
    <xf numFmtId="1" fontId="4" fillId="0" borderId="116" xfId="0" applyNumberFormat="1" applyFont="1" applyFill="1" applyBorder="1" applyAlignment="1">
      <alignment vertical="top" wrapText="1"/>
    </xf>
    <xf numFmtId="0" fontId="4" fillId="0" borderId="117" xfId="0" applyFont="1" applyFill="1" applyBorder="1" applyAlignment="1">
      <alignment vertical="top"/>
    </xf>
    <xf numFmtId="3" fontId="4" fillId="0" borderId="117" xfId="0" applyNumberFormat="1" applyFont="1" applyFill="1" applyBorder="1" applyAlignment="1">
      <alignment vertical="top"/>
    </xf>
    <xf numFmtId="168" fontId="4" fillId="0" borderId="117" xfId="0" applyNumberFormat="1" applyFont="1" applyFill="1" applyBorder="1" applyAlignment="1">
      <alignment vertical="top"/>
    </xf>
    <xf numFmtId="3" fontId="4" fillId="0" borderId="117" xfId="0" applyNumberFormat="1" applyFont="1" applyFill="1" applyBorder="1" applyAlignment="1">
      <alignment vertical="center"/>
    </xf>
    <xf numFmtId="168" fontId="4" fillId="0" borderId="117" xfId="0" applyNumberFormat="1" applyFont="1" applyFill="1" applyBorder="1" applyAlignment="1">
      <alignment vertical="top" wrapText="1"/>
    </xf>
    <xf numFmtId="3" fontId="4" fillId="0" borderId="117" xfId="0" applyNumberFormat="1" applyFont="1" applyFill="1" applyBorder="1" applyAlignment="1">
      <alignment vertical="top" wrapText="1"/>
    </xf>
    <xf numFmtId="3" fontId="4" fillId="0" borderId="118" xfId="0" applyNumberFormat="1" applyFont="1" applyFill="1" applyBorder="1" applyAlignment="1">
      <alignment vertical="top"/>
    </xf>
    <xf numFmtId="0" fontId="0" fillId="0" borderId="0" xfId="0" applyFont="1" applyFill="1" applyAlignment="1">
      <alignment horizontal="center"/>
    </xf>
    <xf numFmtId="0" fontId="0" fillId="0" borderId="0" xfId="0" applyFont="1" applyFill="1" applyAlignment="1">
      <alignment wrapText="1"/>
    </xf>
    <xf numFmtId="168" fontId="0" fillId="0" borderId="0" xfId="0" applyNumberFormat="1" applyFont="1" applyFill="1" applyAlignment="1">
      <alignment wrapText="1"/>
    </xf>
    <xf numFmtId="3" fontId="24" fillId="0" borderId="142" xfId="0" applyNumberFormat="1" applyFont="1" applyFill="1" applyBorder="1" applyAlignment="1">
      <alignment vertical="center"/>
    </xf>
    <xf numFmtId="0" fontId="17" fillId="0" borderId="143" xfId="0" applyFont="1" applyFill="1" applyBorder="1" applyAlignment="1">
      <alignment vertical="center"/>
    </xf>
    <xf numFmtId="0" fontId="17" fillId="0" borderId="144" xfId="0" applyFont="1" applyFill="1" applyBorder="1" applyAlignment="1">
      <alignment horizontal="center" vertical="center" wrapText="1"/>
    </xf>
    <xf numFmtId="0" fontId="23" fillId="0" borderId="116" xfId="0" applyFont="1" applyFill="1" applyBorder="1" applyAlignment="1">
      <alignment vertical="top"/>
    </xf>
    <xf numFmtId="0" fontId="55" fillId="0" borderId="117" xfId="0" applyFont="1" applyFill="1" applyBorder="1" applyAlignment="1">
      <alignment vertical="center" wrapText="1"/>
    </xf>
    <xf numFmtId="171" fontId="5" fillId="0" borderId="92" xfId="2" applyNumberFormat="1" applyFont="1" applyFill="1" applyBorder="1" applyAlignment="1">
      <alignment horizontal="center" vertical="center" wrapText="1"/>
    </xf>
    <xf numFmtId="171" fontId="22" fillId="0" borderId="92" xfId="2" applyNumberFormat="1" applyFont="1" applyFill="1" applyBorder="1" applyAlignment="1">
      <alignment horizontal="center" vertical="center" wrapText="1"/>
    </xf>
    <xf numFmtId="167" fontId="5" fillId="0" borderId="115" xfId="1" applyNumberFormat="1" applyFont="1" applyFill="1" applyBorder="1" applyAlignment="1">
      <alignment vertical="center" wrapText="1"/>
    </xf>
    <xf numFmtId="0" fontId="5" fillId="0" borderId="92" xfId="0" applyFont="1" applyFill="1" applyBorder="1" applyAlignment="1">
      <alignment vertical="top" wrapText="1"/>
    </xf>
    <xf numFmtId="0" fontId="5" fillId="0" borderId="115" xfId="0" applyFont="1" applyFill="1" applyBorder="1" applyAlignment="1">
      <alignment vertical="top" wrapText="1"/>
    </xf>
    <xf numFmtId="1" fontId="4" fillId="0" borderId="92" xfId="0" applyNumberFormat="1" applyFont="1" applyFill="1" applyBorder="1" applyAlignment="1">
      <alignment horizontal="right" vertical="center" wrapText="1"/>
    </xf>
    <xf numFmtId="0" fontId="4" fillId="0" borderId="92" xfId="0" applyFont="1" applyFill="1" applyBorder="1" applyAlignment="1">
      <alignment horizontal="center" vertical="top" wrapText="1"/>
    </xf>
    <xf numFmtId="0" fontId="4" fillId="0" borderId="115" xfId="0" applyFont="1" applyFill="1" applyBorder="1" applyAlignment="1">
      <alignment vertical="top"/>
    </xf>
    <xf numFmtId="171" fontId="4" fillId="0" borderId="92" xfId="0" applyNumberFormat="1" applyFont="1" applyFill="1" applyBorder="1" applyAlignment="1">
      <alignment horizontal="right" vertical="center" wrapText="1"/>
    </xf>
    <xf numFmtId="0" fontId="5" fillId="0" borderId="114" xfId="0" applyFont="1" applyFill="1" applyBorder="1" applyAlignment="1">
      <alignment horizontal="center" vertical="top" wrapText="1"/>
    </xf>
    <xf numFmtId="0" fontId="4" fillId="0" borderId="92" xfId="0" applyFont="1" applyFill="1" applyBorder="1" applyAlignment="1">
      <alignment horizontal="right" vertical="top" wrapText="1"/>
    </xf>
    <xf numFmtId="0" fontId="4" fillId="0" borderId="115" xfId="0" applyFont="1" applyFill="1" applyBorder="1" applyAlignment="1">
      <alignment horizontal="right" vertical="top"/>
    </xf>
    <xf numFmtId="0" fontId="0" fillId="0" borderId="0" xfId="0" applyFont="1"/>
    <xf numFmtId="0" fontId="67" fillId="0" borderId="0" xfId="0" applyFont="1"/>
    <xf numFmtId="49" fontId="67" fillId="0" borderId="0" xfId="0" applyNumberFormat="1" applyFont="1" applyAlignment="1">
      <alignment horizontal="center"/>
    </xf>
    <xf numFmtId="0" fontId="61" fillId="0" borderId="92" xfId="0" applyFont="1" applyFill="1" applyBorder="1" applyAlignment="1">
      <alignment horizontal="right" vertical="center"/>
    </xf>
    <xf numFmtId="171" fontId="61" fillId="0" borderId="92" xfId="0" applyNumberFormat="1" applyFont="1" applyFill="1" applyBorder="1" applyAlignment="1">
      <alignment horizontal="right" vertical="center"/>
    </xf>
    <xf numFmtId="0" fontId="5" fillId="0" borderId="92" xfId="0" applyFont="1" applyFill="1" applyBorder="1" applyAlignment="1">
      <alignment horizontal="center" vertical="top" wrapText="1"/>
    </xf>
    <xf numFmtId="0" fontId="5" fillId="0" borderId="115" xfId="0" applyFont="1" applyFill="1" applyBorder="1" applyAlignment="1">
      <alignment vertical="top"/>
    </xf>
    <xf numFmtId="171" fontId="5" fillId="0" borderId="92" xfId="0" applyNumberFormat="1" applyFont="1" applyFill="1" applyBorder="1" applyAlignment="1">
      <alignment horizontal="right" vertical="center" wrapText="1"/>
    </xf>
    <xf numFmtId="171" fontId="4" fillId="0" borderId="92" xfId="0" applyNumberFormat="1" applyFont="1" applyFill="1" applyBorder="1" applyAlignment="1">
      <alignment horizontal="right" vertical="center"/>
    </xf>
    <xf numFmtId="171" fontId="5" fillId="0" borderId="92" xfId="0" applyNumberFormat="1" applyFont="1" applyFill="1" applyBorder="1" applyAlignment="1">
      <alignment horizontal="right" vertical="center"/>
    </xf>
    <xf numFmtId="168" fontId="5" fillId="0" borderId="114" xfId="0" applyNumberFormat="1" applyFont="1" applyFill="1" applyBorder="1" applyAlignment="1">
      <alignment vertical="top" wrapText="1"/>
    </xf>
    <xf numFmtId="1" fontId="5" fillId="0" borderId="92" xfId="0" applyNumberFormat="1" applyFont="1" applyFill="1" applyBorder="1" applyAlignment="1">
      <alignment horizontal="right" vertical="center"/>
    </xf>
    <xf numFmtId="0" fontId="8" fillId="0" borderId="92" xfId="0" applyFont="1" applyFill="1" applyBorder="1" applyAlignment="1">
      <alignment horizontal="right" vertical="center"/>
    </xf>
    <xf numFmtId="171" fontId="8" fillId="0" borderId="92" xfId="0" applyNumberFormat="1" applyFont="1" applyFill="1" applyBorder="1" applyAlignment="1">
      <alignment horizontal="right" vertical="center"/>
    </xf>
    <xf numFmtId="1" fontId="8" fillId="0" borderId="92" xfId="0" applyNumberFormat="1" applyFont="1" applyFill="1" applyBorder="1" applyAlignment="1">
      <alignment horizontal="right" vertical="center"/>
    </xf>
    <xf numFmtId="0" fontId="8" fillId="0" borderId="92" xfId="0" applyFont="1" applyFill="1" applyBorder="1" applyAlignment="1">
      <alignment horizontal="center" vertical="top" wrapText="1"/>
    </xf>
    <xf numFmtId="0" fontId="8" fillId="0" borderId="115" xfId="0" applyFont="1" applyFill="1" applyBorder="1" applyAlignment="1">
      <alignment vertical="top"/>
    </xf>
    <xf numFmtId="0" fontId="69" fillId="0" borderId="0" xfId="0" applyFont="1" applyAlignment="1">
      <alignment vertical="top"/>
    </xf>
    <xf numFmtId="0" fontId="8" fillId="0" borderId="92" xfId="0" applyFont="1" applyFill="1" applyBorder="1" applyAlignment="1">
      <alignment horizontal="right" vertical="center" wrapText="1"/>
    </xf>
    <xf numFmtId="171" fontId="8" fillId="0" borderId="92" xfId="0" applyNumberFormat="1" applyFont="1" applyFill="1" applyBorder="1" applyAlignment="1">
      <alignment horizontal="right" vertical="center" wrapText="1"/>
    </xf>
    <xf numFmtId="1" fontId="8" fillId="0" borderId="92" xfId="0" applyNumberFormat="1" applyFont="1" applyFill="1" applyBorder="1" applyAlignment="1">
      <alignment horizontal="right" vertical="center" wrapText="1"/>
    </xf>
    <xf numFmtId="1" fontId="4" fillId="0" borderId="114" xfId="0" applyNumberFormat="1" applyFont="1" applyFill="1" applyBorder="1" applyAlignment="1">
      <alignment horizontal="center" vertical="top" wrapText="1"/>
    </xf>
    <xf numFmtId="0" fontId="67" fillId="0" borderId="0" xfId="0" applyFont="1" applyAlignment="1">
      <alignment vertical="top"/>
    </xf>
    <xf numFmtId="168" fontId="8" fillId="0" borderId="114" xfId="0" applyNumberFormat="1" applyFont="1" applyFill="1" applyBorder="1" applyAlignment="1">
      <alignment vertical="top" wrapText="1"/>
    </xf>
    <xf numFmtId="0" fontId="3" fillId="0" borderId="92" xfId="0" applyFont="1" applyFill="1" applyBorder="1" applyAlignment="1" applyProtection="1">
      <alignment horizontal="left" vertical="center" wrapText="1"/>
      <protection locked="0"/>
    </xf>
    <xf numFmtId="0" fontId="3" fillId="0" borderId="92" xfId="0" applyFont="1" applyFill="1" applyBorder="1" applyAlignment="1">
      <alignment vertical="top" wrapText="1"/>
    </xf>
    <xf numFmtId="1" fontId="5" fillId="0" borderId="92" xfId="0" applyNumberFormat="1" applyFont="1" applyFill="1" applyBorder="1" applyAlignment="1">
      <alignment horizontal="right" vertical="center" wrapText="1"/>
    </xf>
    <xf numFmtId="167" fontId="8" fillId="0" borderId="114" xfId="1" quotePrefix="1" applyNumberFormat="1" applyFont="1" applyFill="1" applyBorder="1" applyAlignment="1">
      <alignment vertical="center" wrapText="1"/>
    </xf>
    <xf numFmtId="1" fontId="8" fillId="0" borderId="114" xfId="0" quotePrefix="1" applyNumberFormat="1" applyFont="1" applyFill="1" applyBorder="1" applyAlignment="1">
      <alignment vertical="top" wrapText="1"/>
    </xf>
    <xf numFmtId="0" fontId="8" fillId="0" borderId="92" xfId="0" applyFont="1" applyFill="1" applyBorder="1" applyAlignment="1">
      <alignment horizontal="right" vertical="top" wrapText="1"/>
    </xf>
    <xf numFmtId="0" fontId="8" fillId="0" borderId="115" xfId="0" applyFont="1" applyFill="1" applyBorder="1" applyAlignment="1">
      <alignment horizontal="right" vertical="top"/>
    </xf>
    <xf numFmtId="0" fontId="4" fillId="0" borderId="117" xfId="0" applyFont="1" applyFill="1" applyBorder="1" applyAlignment="1">
      <alignment horizontal="left" vertical="top" wrapText="1"/>
    </xf>
    <xf numFmtId="171" fontId="4" fillId="0" borderId="117" xfId="0" applyNumberFormat="1" applyFont="1" applyFill="1" applyBorder="1" applyAlignment="1">
      <alignment horizontal="right" vertical="center" wrapText="1"/>
    </xf>
    <xf numFmtId="1" fontId="4" fillId="0" borderId="117" xfId="0" applyNumberFormat="1" applyFont="1" applyFill="1" applyBorder="1" applyAlignment="1">
      <alignment horizontal="right" vertical="center" wrapText="1"/>
    </xf>
    <xf numFmtId="0" fontId="4" fillId="0" borderId="117" xfId="0" applyFont="1" applyFill="1" applyBorder="1" applyAlignment="1">
      <alignment horizontal="right" vertical="top" wrapText="1"/>
    </xf>
    <xf numFmtId="0" fontId="4" fillId="0" borderId="118" xfId="0" applyFont="1" applyFill="1" applyBorder="1" applyAlignment="1">
      <alignment horizontal="right" vertical="top"/>
    </xf>
    <xf numFmtId="0" fontId="0" fillId="0" borderId="0" xfId="0" applyFont="1" applyAlignment="1">
      <alignment horizontal="center"/>
    </xf>
    <xf numFmtId="0" fontId="0" fillId="0" borderId="0" xfId="0" applyFont="1" applyAlignment="1">
      <alignment wrapText="1"/>
    </xf>
    <xf numFmtId="171" fontId="0" fillId="0" borderId="0" xfId="0" applyNumberFormat="1" applyFont="1" applyAlignment="1">
      <alignment wrapText="1"/>
    </xf>
    <xf numFmtId="167" fontId="5" fillId="0" borderId="92" xfId="2" applyNumberFormat="1" applyFont="1" applyFill="1" applyBorder="1" applyAlignment="1">
      <alignment horizontal="center" vertical="center" wrapText="1"/>
    </xf>
    <xf numFmtId="49" fontId="22" fillId="0" borderId="92" xfId="2" applyNumberFormat="1" applyFont="1" applyFill="1" applyBorder="1" applyAlignment="1">
      <alignment horizontal="center" vertical="center" wrapText="1"/>
    </xf>
    <xf numFmtId="167" fontId="5" fillId="0" borderId="114" xfId="1" applyNumberFormat="1" applyFont="1" applyFill="1" applyBorder="1" applyAlignment="1">
      <alignment horizontal="center" vertical="center" wrapText="1"/>
    </xf>
    <xf numFmtId="167" fontId="8" fillId="0" borderId="114" xfId="1" applyNumberFormat="1" applyFont="1" applyFill="1" applyBorder="1" applyAlignment="1">
      <alignment vertical="center" wrapText="1"/>
    </xf>
    <xf numFmtId="3" fontId="4" fillId="0" borderId="92" xfId="0" applyNumberFormat="1" applyFont="1" applyFill="1" applyBorder="1" applyAlignment="1">
      <alignment horizontal="right" vertical="top" wrapText="1"/>
    </xf>
    <xf numFmtId="171" fontId="4" fillId="0" borderId="92" xfId="0" applyNumberFormat="1" applyFont="1" applyFill="1" applyBorder="1" applyAlignment="1">
      <alignment horizontal="right" vertical="top" wrapText="1"/>
    </xf>
    <xf numFmtId="3" fontId="4" fillId="0" borderId="117" xfId="0" applyNumberFormat="1" applyFont="1" applyFill="1" applyBorder="1" applyAlignment="1">
      <alignment horizontal="right" vertical="top" wrapText="1"/>
    </xf>
    <xf numFmtId="0" fontId="61" fillId="0" borderId="0" xfId="0" applyFont="1" applyFill="1"/>
    <xf numFmtId="0" fontId="6" fillId="0" borderId="92" xfId="0" applyFont="1" applyFill="1" applyBorder="1" applyAlignment="1">
      <alignment horizontal="right" vertical="top" wrapText="1"/>
    </xf>
    <xf numFmtId="0" fontId="6" fillId="0" borderId="115" xfId="0" applyFont="1" applyFill="1" applyBorder="1" applyAlignment="1">
      <alignment horizontal="right" vertical="top"/>
    </xf>
    <xf numFmtId="0" fontId="5" fillId="0" borderId="92" xfId="0" applyFont="1" applyFill="1" applyBorder="1" applyAlignment="1">
      <alignment horizontal="right" vertical="top" wrapText="1"/>
    </xf>
    <xf numFmtId="0" fontId="5" fillId="0" borderId="115" xfId="0" applyFont="1" applyFill="1" applyBorder="1" applyAlignment="1">
      <alignment horizontal="right" vertical="top"/>
    </xf>
    <xf numFmtId="171" fontId="5" fillId="0" borderId="92" xfId="1" applyNumberFormat="1" applyFont="1" applyFill="1" applyBorder="1" applyAlignment="1">
      <alignment horizontal="right" vertical="center" wrapText="1"/>
    </xf>
    <xf numFmtId="2" fontId="5" fillId="0" borderId="92" xfId="1" applyNumberFormat="1" applyFont="1" applyFill="1" applyBorder="1" applyAlignment="1">
      <alignment vertical="center" wrapText="1"/>
    </xf>
    <xf numFmtId="0" fontId="3" fillId="0" borderId="92" xfId="0" applyFont="1" applyFill="1" applyBorder="1" applyAlignment="1">
      <alignment horizontal="left" vertical="top" wrapText="1"/>
    </xf>
    <xf numFmtId="3" fontId="4" fillId="0" borderId="92" xfId="0" applyNumberFormat="1" applyFont="1" applyFill="1" applyBorder="1" applyAlignment="1">
      <alignment horizontal="center" vertical="top" wrapText="1"/>
    </xf>
    <xf numFmtId="0" fontId="3" fillId="0" borderId="92" xfId="0" applyFont="1" applyFill="1" applyBorder="1" applyAlignment="1">
      <alignment horizontal="left" vertical="center" wrapText="1"/>
    </xf>
    <xf numFmtId="0" fontId="4" fillId="0" borderId="117" xfId="0" applyFont="1" applyFill="1" applyBorder="1" applyAlignment="1">
      <alignment wrapText="1"/>
    </xf>
    <xf numFmtId="0" fontId="4" fillId="0" borderId="118" xfId="0" applyFont="1" applyFill="1" applyBorder="1"/>
    <xf numFmtId="167" fontId="5" fillId="0" borderId="111" xfId="1" applyNumberFormat="1" applyFont="1" applyFill="1" applyBorder="1" applyAlignment="1">
      <alignment horizontal="center" vertical="center" wrapText="1"/>
    </xf>
    <xf numFmtId="167" fontId="5" fillId="0" borderId="112" xfId="1" applyNumberFormat="1" applyFont="1" applyFill="1" applyBorder="1" applyAlignment="1">
      <alignment horizontal="center" vertical="center" wrapText="1"/>
    </xf>
    <xf numFmtId="167" fontId="5" fillId="0" borderId="113" xfId="1" applyNumberFormat="1" applyFont="1" applyFill="1" applyBorder="1" applyAlignment="1">
      <alignment horizontal="center" vertical="center" wrapText="1"/>
    </xf>
    <xf numFmtId="167" fontId="5" fillId="0" borderId="92" xfId="1" applyNumberFormat="1" applyFont="1" applyFill="1" applyBorder="1" applyAlignment="1">
      <alignment horizontal="center" vertical="center" wrapText="1"/>
    </xf>
    <xf numFmtId="167" fontId="5" fillId="0" borderId="92" xfId="1" quotePrefix="1" applyNumberFormat="1" applyFont="1" applyFill="1" applyBorder="1" applyAlignment="1">
      <alignment horizontal="center" vertical="center" wrapText="1"/>
    </xf>
    <xf numFmtId="165" fontId="5" fillId="0" borderId="92" xfId="1" applyFont="1" applyFill="1" applyBorder="1" applyAlignment="1">
      <alignment horizontal="center" vertical="center" wrapText="1"/>
    </xf>
    <xf numFmtId="167" fontId="5" fillId="0" borderId="115" xfId="1" quotePrefix="1" applyNumberFormat="1" applyFont="1" applyFill="1" applyBorder="1" applyAlignment="1">
      <alignment horizontal="center" vertical="center" wrapText="1"/>
    </xf>
    <xf numFmtId="0" fontId="9" fillId="0" borderId="114" xfId="0" applyFont="1" applyFill="1" applyBorder="1" applyAlignment="1">
      <alignment horizontal="center" vertical="center" wrapText="1"/>
    </xf>
    <xf numFmtId="0" fontId="9" fillId="0" borderId="92" xfId="0" applyFont="1" applyFill="1" applyBorder="1" applyAlignment="1">
      <alignment horizontal="justify" vertical="center" wrapText="1"/>
    </xf>
    <xf numFmtId="0" fontId="4" fillId="0" borderId="92" xfId="0" applyFont="1" applyFill="1" applyBorder="1" applyAlignment="1">
      <alignment horizontal="center" vertical="center" wrapText="1"/>
    </xf>
    <xf numFmtId="165" fontId="4" fillId="0" borderId="92" xfId="1" applyFont="1" applyFill="1" applyBorder="1" applyAlignment="1">
      <alignment horizontal="center" vertical="center" wrapText="1"/>
    </xf>
    <xf numFmtId="0" fontId="4" fillId="0" borderId="115" xfId="0" applyFont="1" applyFill="1" applyBorder="1" applyAlignment="1">
      <alignment vertical="center"/>
    </xf>
    <xf numFmtId="0" fontId="4" fillId="0" borderId="114" xfId="0" applyFont="1" applyFill="1" applyBorder="1" applyAlignment="1">
      <alignment horizontal="center" vertical="center" wrapText="1"/>
    </xf>
    <xf numFmtId="0" fontId="8" fillId="0" borderId="92" xfId="0" applyFont="1" applyFill="1" applyBorder="1" applyAlignment="1">
      <alignment horizontal="left" vertical="center" wrapText="1"/>
    </xf>
    <xf numFmtId="1" fontId="4" fillId="0" borderId="92" xfId="1" applyNumberFormat="1" applyFont="1" applyFill="1" applyBorder="1" applyAlignment="1">
      <alignment horizontal="center" vertical="center" wrapText="1"/>
    </xf>
    <xf numFmtId="0" fontId="8" fillId="0" borderId="114" xfId="0" applyFont="1" applyFill="1" applyBorder="1" applyAlignment="1">
      <alignment horizontal="center" vertical="center" wrapText="1"/>
    </xf>
    <xf numFmtId="0" fontId="8" fillId="0" borderId="92" xfId="0" quotePrefix="1" applyFont="1" applyFill="1" applyBorder="1" applyAlignment="1">
      <alignment horizontal="left" vertical="center" wrapText="1"/>
    </xf>
    <xf numFmtId="0" fontId="8" fillId="0" borderId="92" xfId="0" applyFont="1" applyFill="1" applyBorder="1" applyAlignment="1">
      <alignment horizontal="center" vertical="center" wrapText="1"/>
    </xf>
    <xf numFmtId="1" fontId="8" fillId="0" borderId="92" xfId="1" applyNumberFormat="1" applyFont="1" applyFill="1" applyBorder="1" applyAlignment="1">
      <alignment horizontal="center" vertical="center" wrapText="1"/>
    </xf>
    <xf numFmtId="0" fontId="8" fillId="0" borderId="115" xfId="0" applyFont="1" applyFill="1" applyBorder="1" applyAlignment="1">
      <alignment vertical="center"/>
    </xf>
    <xf numFmtId="0" fontId="5" fillId="0" borderId="114" xfId="0" applyFont="1" applyFill="1" applyBorder="1" applyAlignment="1">
      <alignment horizontal="center" vertical="center" wrapText="1"/>
    </xf>
    <xf numFmtId="0" fontId="5" fillId="0" borderId="92" xfId="0" applyFont="1" applyFill="1" applyBorder="1" applyAlignment="1">
      <alignment horizontal="center" vertical="center" wrapText="1"/>
    </xf>
    <xf numFmtId="1" fontId="5" fillId="0" borderId="92" xfId="1" applyNumberFormat="1" applyFont="1" applyFill="1" applyBorder="1" applyAlignment="1">
      <alignment horizontal="center" vertical="center" wrapText="1"/>
    </xf>
    <xf numFmtId="0" fontId="5" fillId="0" borderId="115" xfId="0" applyFont="1" applyFill="1" applyBorder="1" applyAlignment="1">
      <alignment vertical="center"/>
    </xf>
    <xf numFmtId="0" fontId="4" fillId="0" borderId="116" xfId="0" applyFont="1" applyFill="1" applyBorder="1" applyAlignment="1">
      <alignment horizontal="center" vertical="center" wrapText="1"/>
    </xf>
    <xf numFmtId="164" fontId="4" fillId="0" borderId="117" xfId="1" applyNumberFormat="1" applyFont="1" applyFill="1" applyBorder="1" applyAlignment="1">
      <alignment horizontal="left" vertical="center" wrapText="1"/>
    </xf>
    <xf numFmtId="0" fontId="4" fillId="0" borderId="117" xfId="0" applyFont="1" applyFill="1" applyBorder="1" applyAlignment="1">
      <alignment horizontal="center" vertical="center" wrapText="1"/>
    </xf>
    <xf numFmtId="1" fontId="4" fillId="0" borderId="117" xfId="1" applyNumberFormat="1" applyFont="1" applyFill="1" applyBorder="1" applyAlignment="1">
      <alignment horizontal="center" vertical="center" wrapText="1"/>
    </xf>
    <xf numFmtId="0" fontId="4" fillId="0" borderId="118" xfId="0" applyFont="1" applyFill="1" applyBorder="1" applyAlignment="1">
      <alignment vertical="center"/>
    </xf>
    <xf numFmtId="0" fontId="6" fillId="0" borderId="0" xfId="0" applyFont="1" applyFill="1" applyAlignment="1">
      <alignment horizontal="right"/>
    </xf>
    <xf numFmtId="0" fontId="4" fillId="0" borderId="0" xfId="0" applyFont="1" applyFill="1" applyAlignment="1">
      <alignment vertical="top" wrapText="1"/>
    </xf>
    <xf numFmtId="0" fontId="0" fillId="0" borderId="0" xfId="0" applyFill="1" applyAlignment="1">
      <alignment vertical="top"/>
    </xf>
    <xf numFmtId="0" fontId="8" fillId="0" borderId="0" xfId="0" applyFont="1" applyFill="1" applyAlignment="1">
      <alignment vertical="top" wrapText="1"/>
    </xf>
    <xf numFmtId="0" fontId="4" fillId="0" borderId="0" xfId="0" applyFont="1" applyFill="1" applyAlignment="1">
      <alignment horizontal="left" wrapText="1"/>
    </xf>
    <xf numFmtId="0" fontId="15" fillId="0" borderId="0" xfId="0" applyFont="1" applyFill="1" applyAlignment="1">
      <alignment wrapText="1"/>
    </xf>
    <xf numFmtId="0" fontId="16" fillId="0" borderId="0" xfId="0" applyFont="1" applyFill="1"/>
    <xf numFmtId="0" fontId="16" fillId="0" borderId="0" xfId="0" applyFont="1" applyFill="1" applyAlignment="1">
      <alignment wrapText="1"/>
    </xf>
    <xf numFmtId="0" fontId="17" fillId="0" borderId="0" xfId="0" applyFont="1" applyFill="1" applyAlignment="1">
      <alignment wrapText="1"/>
    </xf>
    <xf numFmtId="0" fontId="5" fillId="0" borderId="92" xfId="0" applyFont="1" applyFill="1" applyBorder="1" applyAlignment="1">
      <alignment horizontal="justify" vertical="center" wrapText="1"/>
    </xf>
    <xf numFmtId="164" fontId="4" fillId="0" borderId="92" xfId="1" applyNumberFormat="1" applyFont="1" applyFill="1" applyBorder="1" applyAlignment="1">
      <alignment horizontal="center" vertical="center" wrapText="1"/>
    </xf>
    <xf numFmtId="164" fontId="8" fillId="0" borderId="92" xfId="1" applyNumberFormat="1" applyFont="1" applyFill="1" applyBorder="1" applyAlignment="1">
      <alignment horizontal="center" vertical="center" wrapText="1"/>
    </xf>
    <xf numFmtId="164" fontId="5" fillId="0" borderId="92" xfId="1" applyNumberFormat="1" applyFont="1" applyFill="1" applyBorder="1" applyAlignment="1">
      <alignment horizontal="center" vertical="center" wrapText="1"/>
    </xf>
    <xf numFmtId="0" fontId="5" fillId="0" borderId="114" xfId="0" applyFont="1" applyFill="1" applyBorder="1" applyAlignment="1">
      <alignment horizontal="right" vertical="center" wrapText="1"/>
    </xf>
    <xf numFmtId="164" fontId="4" fillId="0" borderId="117" xfId="1" applyNumberFormat="1" applyFont="1" applyFill="1" applyBorder="1" applyAlignment="1">
      <alignment horizontal="center" vertical="center" wrapText="1"/>
    </xf>
    <xf numFmtId="1" fontId="5" fillId="0" borderId="92" xfId="1" quotePrefix="1" applyNumberFormat="1" applyFont="1" applyFill="1" applyBorder="1" applyAlignment="1">
      <alignment horizontal="center" vertical="center" wrapText="1"/>
    </xf>
    <xf numFmtId="165" fontId="8" fillId="0" borderId="92" xfId="1" applyFont="1" applyFill="1" applyBorder="1" applyAlignment="1">
      <alignment horizontal="center" vertical="center" wrapText="1"/>
    </xf>
    <xf numFmtId="1" fontId="5" fillId="0" borderId="112" xfId="1" applyNumberFormat="1" applyFont="1" applyFill="1" applyBorder="1" applyAlignment="1">
      <alignment horizontal="center" vertical="center" wrapText="1"/>
    </xf>
    <xf numFmtId="165" fontId="4" fillId="0" borderId="117" xfId="1" applyFont="1" applyFill="1" applyBorder="1" applyAlignment="1">
      <alignment horizontal="center" vertical="center" wrapText="1"/>
    </xf>
    <xf numFmtId="0" fontId="8" fillId="0" borderId="116" xfId="0" applyFont="1" applyFill="1" applyBorder="1" applyAlignment="1">
      <alignment horizontal="center" vertical="center" wrapText="1"/>
    </xf>
    <xf numFmtId="0" fontId="20" fillId="0" borderId="111" xfId="0" applyFont="1" applyFill="1" applyBorder="1" applyAlignment="1">
      <alignment horizontal="center" vertical="center"/>
    </xf>
    <xf numFmtId="0" fontId="20" fillId="0" borderId="112" xfId="0" applyFont="1" applyFill="1" applyBorder="1" applyAlignment="1">
      <alignment horizontal="center" vertical="center"/>
    </xf>
    <xf numFmtId="0" fontId="20" fillId="0" borderId="112" xfId="0" applyFont="1" applyFill="1" applyBorder="1" applyAlignment="1">
      <alignment horizontal="center" vertical="center" wrapText="1"/>
    </xf>
    <xf numFmtId="0" fontId="20" fillId="0" borderId="113" xfId="0" applyFont="1" applyFill="1" applyBorder="1" applyAlignment="1">
      <alignment horizontal="center" vertical="center"/>
    </xf>
    <xf numFmtId="0" fontId="14" fillId="0" borderId="114" xfId="0" applyFont="1" applyFill="1" applyBorder="1" applyAlignment="1">
      <alignment horizontal="center" vertical="center"/>
    </xf>
    <xf numFmtId="0" fontId="14" fillId="0" borderId="92" xfId="0" applyFont="1" applyFill="1" applyBorder="1" applyAlignment="1">
      <alignment vertical="center"/>
    </xf>
    <xf numFmtId="0" fontId="14" fillId="0" borderId="92" xfId="0" applyFont="1" applyFill="1" applyBorder="1" applyAlignment="1">
      <alignment vertical="center" wrapText="1"/>
    </xf>
    <xf numFmtId="0" fontId="14" fillId="0" borderId="115" xfId="0" applyFont="1" applyFill="1" applyBorder="1" applyAlignment="1">
      <alignment vertical="center"/>
    </xf>
    <xf numFmtId="0" fontId="34" fillId="0" borderId="114" xfId="0" applyFont="1" applyFill="1" applyBorder="1" applyAlignment="1">
      <alignment horizontal="center" vertical="center"/>
    </xf>
    <xf numFmtId="0" fontId="34" fillId="0" borderId="92" xfId="0" applyFont="1" applyFill="1" applyBorder="1" applyAlignment="1">
      <alignment vertical="center"/>
    </xf>
    <xf numFmtId="0" fontId="14" fillId="0" borderId="116" xfId="0" applyFont="1" applyFill="1" applyBorder="1" applyAlignment="1">
      <alignment horizontal="center" vertical="center"/>
    </xf>
    <xf numFmtId="0" fontId="14" fillId="0" borderId="117" xfId="0" applyFont="1" applyFill="1" applyBorder="1" applyAlignment="1">
      <alignment vertical="center"/>
    </xf>
    <xf numFmtId="0" fontId="14" fillId="0" borderId="117" xfId="0" applyFont="1" applyFill="1" applyBorder="1" applyAlignment="1">
      <alignment vertical="center" wrapText="1"/>
    </xf>
    <xf numFmtId="0" fontId="14" fillId="0" borderId="118" xfId="0" applyFont="1" applyFill="1" applyBorder="1" applyAlignment="1">
      <alignment vertical="center"/>
    </xf>
    <xf numFmtId="0" fontId="3" fillId="0" borderId="0" xfId="0" applyFont="1" applyFill="1" applyAlignment="1">
      <alignment horizontal="center"/>
    </xf>
    <xf numFmtId="167" fontId="5" fillId="0" borderId="66" xfId="2" applyNumberFormat="1" applyFont="1" applyFill="1" applyBorder="1" applyAlignment="1">
      <alignment horizontal="center" vertical="center" wrapText="1"/>
    </xf>
    <xf numFmtId="0" fontId="5" fillId="0" borderId="0" xfId="0" applyFont="1" applyFill="1" applyAlignment="1">
      <alignment horizontal="center"/>
    </xf>
    <xf numFmtId="171" fontId="5" fillId="0" borderId="92" xfId="0" applyNumberFormat="1" applyFont="1" applyFill="1" applyBorder="1" applyAlignment="1">
      <alignment horizontal="right" vertical="top" wrapText="1"/>
    </xf>
    <xf numFmtId="171" fontId="67" fillId="0" borderId="92" xfId="0" applyNumberFormat="1" applyFont="1" applyFill="1" applyBorder="1" applyAlignment="1">
      <alignment vertical="top"/>
    </xf>
    <xf numFmtId="171" fontId="4" fillId="0" borderId="117" xfId="0" applyNumberFormat="1" applyFont="1" applyFill="1" applyBorder="1" applyAlignment="1">
      <alignment horizontal="right" vertical="top" wrapText="1"/>
    </xf>
    <xf numFmtId="171" fontId="4" fillId="0" borderId="117" xfId="0" applyNumberFormat="1" applyFont="1" applyFill="1" applyBorder="1" applyAlignment="1">
      <alignment horizontal="right" vertical="center"/>
    </xf>
    <xf numFmtId="171" fontId="5" fillId="0" borderId="92" xfId="2" quotePrefix="1" applyNumberFormat="1" applyFont="1" applyFill="1" applyBorder="1" applyAlignment="1">
      <alignment horizontal="center" vertical="center" wrapText="1"/>
    </xf>
    <xf numFmtId="171" fontId="5" fillId="0" borderId="92" xfId="1" applyNumberFormat="1" applyFont="1" applyFill="1" applyBorder="1" applyAlignment="1">
      <alignment vertical="center" wrapText="1"/>
    </xf>
    <xf numFmtId="171" fontId="8" fillId="0" borderId="92" xfId="0" applyNumberFormat="1" applyFont="1" applyFill="1" applyBorder="1" applyAlignment="1">
      <alignment vertical="center" wrapText="1"/>
    </xf>
    <xf numFmtId="171" fontId="4" fillId="0" borderId="92" xfId="0" applyNumberFormat="1" applyFont="1" applyFill="1" applyBorder="1" applyAlignment="1">
      <alignment vertical="center"/>
    </xf>
    <xf numFmtId="171" fontId="4" fillId="0" borderId="92" xfId="0" applyNumberFormat="1" applyFont="1" applyFill="1" applyBorder="1" applyAlignment="1">
      <alignment vertical="center" wrapText="1"/>
    </xf>
    <xf numFmtId="171" fontId="4" fillId="0" borderId="92" xfId="0" applyNumberFormat="1" applyFont="1" applyFill="1" applyBorder="1" applyAlignment="1">
      <alignment vertical="top" wrapText="1"/>
    </xf>
    <xf numFmtId="171" fontId="8" fillId="0" borderId="92" xfId="0" applyNumberFormat="1" applyFont="1" applyFill="1" applyBorder="1" applyAlignment="1">
      <alignment vertical="top" wrapText="1"/>
    </xf>
    <xf numFmtId="171" fontId="8" fillId="0" borderId="92" xfId="0" applyNumberFormat="1" applyFont="1" applyFill="1" applyBorder="1" applyAlignment="1">
      <alignment vertical="center"/>
    </xf>
    <xf numFmtId="171" fontId="5" fillId="0" borderId="92" xfId="0" applyNumberFormat="1" applyFont="1" applyFill="1" applyBorder="1" applyAlignment="1">
      <alignment vertical="center"/>
    </xf>
    <xf numFmtId="171" fontId="5" fillId="0" borderId="92" xfId="0" applyNumberFormat="1" applyFont="1" applyFill="1" applyBorder="1" applyAlignment="1">
      <alignment vertical="center" wrapText="1"/>
    </xf>
    <xf numFmtId="171" fontId="5" fillId="0" borderId="92" xfId="0" applyNumberFormat="1" applyFont="1" applyFill="1" applyBorder="1" applyAlignment="1">
      <alignment vertical="top" wrapText="1"/>
    </xf>
    <xf numFmtId="171" fontId="4" fillId="0" borderId="92" xfId="0" applyNumberFormat="1" applyFont="1" applyFill="1" applyBorder="1" applyAlignment="1">
      <alignment wrapText="1"/>
    </xf>
    <xf numFmtId="171" fontId="4" fillId="0" borderId="117" xfId="0" applyNumberFormat="1" applyFont="1" applyFill="1" applyBorder="1" applyAlignment="1">
      <alignment vertical="center"/>
    </xf>
    <xf numFmtId="171" fontId="4" fillId="0" borderId="117" xfId="0" applyNumberFormat="1" applyFont="1" applyFill="1" applyBorder="1" applyAlignment="1">
      <alignment vertical="top" wrapText="1"/>
    </xf>
    <xf numFmtId="168" fontId="6" fillId="0" borderId="114" xfId="0" applyNumberFormat="1" applyFont="1" applyFill="1" applyBorder="1" applyAlignment="1">
      <alignment horizontal="left" vertical="center" wrapText="1"/>
    </xf>
    <xf numFmtId="0" fontId="6" fillId="0" borderId="92" xfId="0" applyFont="1" applyFill="1" applyBorder="1" applyAlignment="1">
      <alignment horizontal="left" vertical="center" wrapText="1"/>
    </xf>
    <xf numFmtId="3" fontId="6" fillId="0" borderId="92" xfId="0" applyNumberFormat="1" applyFont="1" applyFill="1" applyBorder="1" applyAlignment="1">
      <alignment horizontal="right" vertical="center"/>
    </xf>
    <xf numFmtId="3" fontId="6" fillId="0" borderId="92" xfId="0" applyNumberFormat="1" applyFont="1" applyFill="1" applyBorder="1" applyAlignment="1">
      <alignment horizontal="right" vertical="center" wrapText="1"/>
    </xf>
    <xf numFmtId="0" fontId="8" fillId="0" borderId="115" xfId="0" applyFont="1" applyFill="1" applyBorder="1" applyAlignment="1">
      <alignment horizontal="right" vertical="center"/>
    </xf>
    <xf numFmtId="0" fontId="6" fillId="0" borderId="115" xfId="0" applyFont="1" applyFill="1" applyBorder="1" applyAlignment="1">
      <alignment horizontal="right" vertical="center"/>
    </xf>
    <xf numFmtId="0" fontId="6" fillId="0" borderId="0" xfId="0" applyFont="1" applyFill="1" applyAlignment="1">
      <alignment vertical="top"/>
    </xf>
    <xf numFmtId="0" fontId="6" fillId="0" borderId="92" xfId="0" applyFont="1" applyFill="1" applyBorder="1" applyAlignment="1">
      <alignment horizontal="right" vertical="center" wrapText="1"/>
    </xf>
    <xf numFmtId="2" fontId="8" fillId="0" borderId="92" xfId="0" applyNumberFormat="1" applyFont="1" applyFill="1" applyBorder="1" applyAlignment="1">
      <alignment horizontal="right" vertical="center" wrapText="1"/>
    </xf>
    <xf numFmtId="0" fontId="6" fillId="0" borderId="92" xfId="0" applyFont="1" applyFill="1" applyBorder="1" applyAlignment="1">
      <alignment horizontal="left" vertical="center"/>
    </xf>
    <xf numFmtId="1" fontId="4" fillId="0" borderId="114" xfId="0" applyNumberFormat="1" applyFont="1" applyFill="1" applyBorder="1" applyAlignment="1">
      <alignment horizontal="left" vertical="top" wrapText="1"/>
    </xf>
    <xf numFmtId="0" fontId="33" fillId="0" borderId="21" xfId="7" applyFont="1" applyBorder="1" applyAlignment="1">
      <alignment horizontal="center" vertical="center" wrapText="1"/>
    </xf>
    <xf numFmtId="0" fontId="34" fillId="0" borderId="74" xfId="7" applyFont="1" applyBorder="1" applyAlignment="1">
      <alignment horizontal="center" vertical="center" wrapText="1"/>
    </xf>
    <xf numFmtId="0" fontId="34" fillId="0" borderId="80" xfId="7" applyFont="1" applyBorder="1" applyAlignment="1">
      <alignment horizontal="center" vertical="center" wrapText="1"/>
    </xf>
    <xf numFmtId="0" fontId="33" fillId="0" borderId="66" xfId="7" applyFont="1" applyBorder="1" applyAlignment="1">
      <alignment horizontal="center" vertical="center" wrapText="1"/>
    </xf>
    <xf numFmtId="0" fontId="33" fillId="0" borderId="69" xfId="7" applyFont="1" applyBorder="1" applyAlignment="1">
      <alignment horizontal="center" vertical="center" wrapText="1"/>
    </xf>
    <xf numFmtId="0" fontId="34" fillId="0" borderId="67" xfId="7" applyFont="1" applyBorder="1" applyAlignment="1">
      <alignment horizontal="center" vertical="center" wrapText="1"/>
    </xf>
    <xf numFmtId="0" fontId="34" fillId="0" borderId="67" xfId="7" applyFont="1" applyBorder="1" applyAlignment="1">
      <alignment horizontal="left" vertical="center" wrapText="1"/>
    </xf>
    <xf numFmtId="0" fontId="34" fillId="0" borderId="149" xfId="7" applyFont="1" applyBorder="1" applyAlignment="1">
      <alignment horizontal="center" vertical="center" wrapText="1"/>
    </xf>
    <xf numFmtId="0" fontId="34" fillId="0" borderId="21" xfId="7" applyFont="1" applyBorder="1" applyAlignment="1">
      <alignment horizontal="center" vertical="center" wrapText="1"/>
    </xf>
    <xf numFmtId="0" fontId="34" fillId="0" borderId="21" xfId="7" applyFont="1" applyBorder="1" applyAlignment="1">
      <alignment horizontal="left" vertical="center" wrapText="1"/>
    </xf>
    <xf numFmtId="3" fontId="4" fillId="0" borderId="150" xfId="0" applyNumberFormat="1" applyFont="1" applyFill="1" applyBorder="1" applyAlignment="1">
      <alignment horizontal="right" vertical="center" wrapText="1"/>
    </xf>
    <xf numFmtId="0" fontId="5" fillId="0" borderId="151" xfId="0" applyFont="1" applyFill="1" applyBorder="1" applyAlignment="1">
      <alignment horizontal="center" vertical="top" wrapText="1"/>
    </xf>
    <xf numFmtId="0" fontId="8" fillId="0" borderId="151" xfId="0" applyFont="1" applyFill="1" applyBorder="1" applyAlignment="1">
      <alignment horizontal="center" vertical="top" wrapText="1"/>
    </xf>
    <xf numFmtId="0" fontId="4" fillId="0" borderId="151" xfId="0" applyFont="1" applyFill="1" applyBorder="1" applyAlignment="1">
      <alignment horizontal="right" vertical="top" wrapText="1"/>
    </xf>
    <xf numFmtId="0" fontId="6" fillId="0" borderId="151" xfId="0" applyFont="1" applyFill="1" applyBorder="1" applyAlignment="1">
      <alignment horizontal="right" vertical="top" wrapText="1"/>
    </xf>
    <xf numFmtId="0" fontId="5" fillId="0" borderId="151" xfId="0" applyFont="1" applyFill="1" applyBorder="1" applyAlignment="1">
      <alignment horizontal="right" vertical="top" wrapText="1"/>
    </xf>
    <xf numFmtId="0" fontId="8" fillId="0" borderId="151" xfId="0" applyFont="1" applyFill="1" applyBorder="1" applyAlignment="1">
      <alignment horizontal="right" vertical="top" wrapText="1"/>
    </xf>
    <xf numFmtId="0" fontId="5" fillId="0" borderId="145" xfId="0" applyFont="1" applyFill="1" applyBorder="1" applyAlignment="1">
      <alignment horizontal="center" vertical="top" wrapText="1"/>
    </xf>
    <xf numFmtId="0" fontId="4" fillId="0" borderId="122" xfId="0" applyFont="1" applyFill="1" applyBorder="1" applyAlignment="1">
      <alignment horizontal="right" vertical="top" wrapText="1"/>
    </xf>
    <xf numFmtId="0" fontId="27" fillId="0" borderId="0" xfId="5" applyBorder="1" applyAlignment="1">
      <alignment vertical="top" wrapText="1"/>
      <protection locked="0"/>
    </xf>
    <xf numFmtId="0" fontId="11" fillId="3" borderId="8" xfId="0" applyFont="1" applyFill="1" applyBorder="1" applyAlignment="1">
      <alignment horizontal="justify" vertical="center" wrapText="1"/>
    </xf>
    <xf numFmtId="0" fontId="11" fillId="3" borderId="8" xfId="0" applyFont="1" applyFill="1" applyBorder="1" applyAlignment="1">
      <alignment horizontal="center" vertical="center" wrapText="1"/>
    </xf>
    <xf numFmtId="3" fontId="34" fillId="3" borderId="8" xfId="0" applyNumberFormat="1" applyFont="1" applyFill="1" applyBorder="1" applyAlignment="1">
      <alignment horizontal="right" vertical="center" wrapText="1"/>
    </xf>
    <xf numFmtId="0" fontId="11" fillId="3" borderId="9" xfId="0" applyFont="1" applyFill="1" applyBorder="1" applyAlignment="1">
      <alignment vertical="center"/>
    </xf>
    <xf numFmtId="0" fontId="11" fillId="0" borderId="8" xfId="0" applyFont="1" applyBorder="1" applyAlignment="1">
      <alignment horizontal="justify" vertical="center" wrapText="1"/>
    </xf>
    <xf numFmtId="0" fontId="11" fillId="0" borderId="8" xfId="0" applyFont="1" applyBorder="1" applyAlignment="1">
      <alignment horizontal="center" vertical="center" wrapText="1"/>
    </xf>
    <xf numFmtId="3" fontId="34" fillId="0" borderId="8" xfId="0" applyNumberFormat="1" applyFont="1" applyBorder="1" applyAlignment="1">
      <alignment horizontal="right" vertical="center" wrapText="1"/>
    </xf>
    <xf numFmtId="0" fontId="11" fillId="0" borderId="9" xfId="0" applyFont="1" applyBorder="1" applyAlignment="1">
      <alignment vertical="center"/>
    </xf>
    <xf numFmtId="0" fontId="9" fillId="0" borderId="8" xfId="0" applyFont="1" applyBorder="1" applyAlignment="1">
      <alignment horizontal="justify" vertical="center" wrapText="1"/>
    </xf>
    <xf numFmtId="0" fontId="11" fillId="0" borderId="5" xfId="0" applyFont="1" applyBorder="1" applyAlignment="1">
      <alignment horizontal="center" vertical="center" wrapText="1"/>
    </xf>
    <xf numFmtId="3" fontId="34" fillId="0" borderId="5" xfId="0" applyNumberFormat="1" applyFont="1" applyBorder="1" applyAlignment="1">
      <alignment horizontal="right" vertical="center" wrapText="1"/>
    </xf>
    <xf numFmtId="0" fontId="11" fillId="0" borderId="11" xfId="0" applyFont="1" applyBorder="1" applyAlignment="1">
      <alignment vertical="center"/>
    </xf>
    <xf numFmtId="0" fontId="9" fillId="0" borderId="5" xfId="0" applyFont="1" applyBorder="1" applyAlignment="1">
      <alignment horizontal="justify" vertical="center" wrapText="1"/>
    </xf>
    <xf numFmtId="3" fontId="33" fillId="0" borderId="5" xfId="0" applyNumberFormat="1" applyFont="1" applyBorder="1" applyAlignment="1">
      <alignment horizontal="right" vertical="center" wrapText="1"/>
    </xf>
    <xf numFmtId="0" fontId="34" fillId="0" borderId="21" xfId="7" applyFont="1" applyFill="1" applyBorder="1" applyAlignment="1">
      <alignment horizontal="left" vertical="center"/>
    </xf>
    <xf numFmtId="0" fontId="34" fillId="0" borderId="21" xfId="7" applyFont="1" applyFill="1" applyBorder="1" applyAlignment="1">
      <alignment horizontal="center" vertical="center"/>
    </xf>
    <xf numFmtId="0" fontId="34" fillId="0" borderId="67" xfId="7" applyFont="1" applyFill="1" applyBorder="1" applyAlignment="1">
      <alignment horizontal="center" vertical="center" wrapText="1"/>
    </xf>
    <xf numFmtId="0" fontId="34" fillId="0" borderId="67" xfId="7" applyFont="1" applyFill="1" applyBorder="1" applyAlignment="1">
      <alignment horizontal="left" vertical="center" wrapText="1"/>
    </xf>
    <xf numFmtId="0" fontId="34" fillId="0" borderId="21" xfId="7" applyFont="1" applyFill="1" applyBorder="1" applyAlignment="1">
      <alignment horizontal="left" vertical="center" wrapText="1"/>
    </xf>
    <xf numFmtId="0" fontId="34" fillId="0" borderId="21" xfId="7" applyFont="1" applyFill="1" applyBorder="1" applyAlignment="1">
      <alignment horizontal="center" vertical="center" wrapText="1"/>
    </xf>
    <xf numFmtId="0" fontId="34" fillId="0" borderId="92" xfId="7" applyFont="1" applyFill="1" applyBorder="1" applyAlignment="1">
      <alignment horizontal="left" vertical="center" wrapText="1"/>
    </xf>
    <xf numFmtId="0" fontId="34" fillId="0" borderId="92" xfId="7" applyFont="1" applyFill="1" applyBorder="1" applyAlignment="1">
      <alignment horizontal="center" vertical="center" wrapText="1"/>
    </xf>
    <xf numFmtId="0" fontId="34" fillId="0" borderId="101" xfId="7" applyFont="1" applyFill="1" applyBorder="1" applyAlignment="1">
      <alignment horizontal="center" vertical="center" wrapText="1"/>
    </xf>
    <xf numFmtId="0" fontId="34" fillId="0" borderId="95" xfId="7" applyFont="1" applyFill="1" applyBorder="1" applyAlignment="1">
      <alignment horizontal="center" vertical="center" wrapText="1"/>
    </xf>
    <xf numFmtId="0" fontId="34" fillId="0" borderId="18" xfId="7" applyFont="1" applyBorder="1" applyAlignment="1">
      <alignment horizontal="center" vertical="center" wrapText="1"/>
    </xf>
    <xf numFmtId="0" fontId="34" fillId="0" borderId="152" xfId="7" applyFont="1" applyBorder="1" applyAlignment="1">
      <alignment horizontal="left" vertical="center" wrapText="1"/>
    </xf>
    <xf numFmtId="0" fontId="34" fillId="0" borderId="35" xfId="7" applyFont="1" applyBorder="1" applyAlignment="1">
      <alignment horizontal="center" vertical="center" wrapText="1"/>
    </xf>
    <xf numFmtId="0" fontId="33" fillId="0" borderId="18" xfId="7" applyFont="1" applyBorder="1" applyAlignment="1">
      <alignment horizontal="left" vertical="center" wrapText="1"/>
    </xf>
    <xf numFmtId="0" fontId="34" fillId="0" borderId="18" xfId="7" applyFont="1" applyBorder="1" applyAlignment="1">
      <alignment horizontal="left" vertical="center" wrapText="1"/>
    </xf>
    <xf numFmtId="0" fontId="34" fillId="0" borderId="152" xfId="7" applyFont="1" applyBorder="1" applyAlignment="1">
      <alignment horizontal="center" vertical="center" wrapText="1"/>
    </xf>
    <xf numFmtId="0" fontId="34" fillId="0" borderId="153" xfId="7" applyFont="1" applyBorder="1" applyAlignment="1">
      <alignment horizontal="center" vertical="center" wrapText="1"/>
    </xf>
    <xf numFmtId="0" fontId="28" fillId="0" borderId="18" xfId="7" applyFont="1" applyBorder="1" applyAlignment="1">
      <alignment horizontal="center" vertical="center" wrapText="1"/>
    </xf>
    <xf numFmtId="0" fontId="34" fillId="0" borderId="153" xfId="7" applyFont="1" applyBorder="1" applyAlignment="1">
      <alignment horizontal="left" vertical="center" wrapText="1"/>
    </xf>
    <xf numFmtId="171" fontId="4" fillId="0" borderId="151" xfId="0" applyNumberFormat="1" applyFont="1" applyFill="1" applyBorder="1" applyAlignment="1">
      <alignment horizontal="right" vertical="top" wrapText="1"/>
    </xf>
    <xf numFmtId="0" fontId="71" fillId="0" borderId="0" xfId="0" applyFont="1" applyFill="1" applyAlignment="1">
      <alignment wrapText="1"/>
    </xf>
    <xf numFmtId="0" fontId="71" fillId="0" borderId="0" xfId="0" applyFont="1" applyFill="1"/>
    <xf numFmtId="49" fontId="71" fillId="0" borderId="0" xfId="0" applyNumberFormat="1" applyFont="1" applyFill="1" applyAlignment="1">
      <alignment horizontal="center"/>
    </xf>
    <xf numFmtId="167" fontId="72" fillId="0" borderId="92" xfId="1" applyNumberFormat="1" applyFont="1" applyFill="1" applyBorder="1" applyAlignment="1">
      <alignment horizontal="right" vertical="center" wrapText="1"/>
    </xf>
    <xf numFmtId="0" fontId="73" fillId="0" borderId="0" xfId="0" applyFont="1" applyFill="1"/>
    <xf numFmtId="0" fontId="72" fillId="0" borderId="0" xfId="0" applyFont="1" applyFill="1" applyAlignment="1">
      <alignment vertical="top"/>
    </xf>
    <xf numFmtId="3" fontId="74" fillId="0" borderId="0" xfId="0" applyNumberFormat="1" applyFont="1" applyFill="1" applyAlignment="1">
      <alignment vertical="top"/>
    </xf>
    <xf numFmtId="0" fontId="74" fillId="0" borderId="0" xfId="0" applyFont="1" applyFill="1" applyAlignment="1">
      <alignment vertical="top"/>
    </xf>
    <xf numFmtId="0" fontId="75" fillId="0" borderId="0" xfId="0" applyFont="1" applyFill="1"/>
    <xf numFmtId="0" fontId="71" fillId="0" borderId="0" xfId="0" applyFont="1" applyFill="1" applyAlignment="1">
      <alignment vertical="top"/>
    </xf>
    <xf numFmtId="0" fontId="76" fillId="0" borderId="0" xfId="0" applyFont="1" applyFill="1" applyAlignment="1">
      <alignment vertical="top"/>
    </xf>
    <xf numFmtId="3" fontId="72" fillId="0" borderId="0" xfId="0" applyNumberFormat="1" applyFont="1" applyFill="1" applyAlignment="1">
      <alignment vertical="top"/>
    </xf>
    <xf numFmtId="0" fontId="73" fillId="0" borderId="0" xfId="0" applyFont="1" applyFill="1" applyAlignment="1">
      <alignment vertical="top"/>
    </xf>
    <xf numFmtId="0" fontId="77" fillId="0" borderId="0" xfId="0" applyFont="1" applyFill="1" applyAlignment="1">
      <alignment vertical="top"/>
    </xf>
    <xf numFmtId="3" fontId="77" fillId="0" borderId="0" xfId="0" applyNumberFormat="1" applyFont="1" applyFill="1" applyAlignment="1">
      <alignment vertical="top"/>
    </xf>
    <xf numFmtId="3" fontId="78" fillId="0" borderId="0" xfId="0" applyNumberFormat="1" applyFont="1" applyFill="1" applyAlignment="1">
      <alignment vertical="top"/>
    </xf>
    <xf numFmtId="3" fontId="72" fillId="0" borderId="30" xfId="0" applyNumberFormat="1" applyFont="1" applyFill="1" applyBorder="1" applyAlignment="1">
      <alignment horizontal="right" vertical="center" wrapText="1"/>
    </xf>
    <xf numFmtId="0" fontId="78" fillId="0" borderId="0" xfId="0" applyFont="1" applyFill="1" applyAlignment="1">
      <alignment vertical="top"/>
    </xf>
    <xf numFmtId="3" fontId="71" fillId="0" borderId="0" xfId="0" applyNumberFormat="1" applyFont="1" applyFill="1" applyAlignment="1">
      <alignment vertical="top"/>
    </xf>
    <xf numFmtId="0" fontId="72" fillId="0" borderId="0" xfId="0" applyFont="1" applyFill="1"/>
    <xf numFmtId="3" fontId="74" fillId="0" borderId="30" xfId="0" applyNumberFormat="1" applyFont="1" applyFill="1" applyBorder="1" applyAlignment="1">
      <alignment horizontal="right" vertical="center" wrapText="1"/>
    </xf>
    <xf numFmtId="3" fontId="73" fillId="0" borderId="0" xfId="0" applyNumberFormat="1" applyFont="1" applyFill="1" applyAlignment="1">
      <alignment vertical="top"/>
    </xf>
    <xf numFmtId="167" fontId="9" fillId="0" borderId="92" xfId="1" applyNumberFormat="1" applyFont="1" applyFill="1" applyBorder="1" applyAlignment="1">
      <alignment horizontal="right" vertical="center" wrapText="1"/>
    </xf>
    <xf numFmtId="3" fontId="9" fillId="0" borderId="92" xfId="1" applyNumberFormat="1" applyFont="1" applyFill="1" applyBorder="1" applyAlignment="1">
      <alignment horizontal="right" vertical="center" wrapText="1"/>
    </xf>
    <xf numFmtId="167" fontId="9" fillId="0" borderId="115" xfId="1" applyNumberFormat="1" applyFont="1" applyFill="1" applyBorder="1" applyAlignment="1">
      <alignment horizontal="right" vertical="center" wrapText="1"/>
    </xf>
    <xf numFmtId="3" fontId="9" fillId="0" borderId="92" xfId="0" applyNumberFormat="1" applyFont="1" applyFill="1" applyBorder="1" applyAlignment="1">
      <alignment horizontal="right" vertical="center" wrapText="1"/>
    </xf>
    <xf numFmtId="0" fontId="9" fillId="0" borderId="92" xfId="0" applyFont="1" applyFill="1" applyBorder="1" applyAlignment="1">
      <alignment horizontal="right" vertical="center" wrapText="1"/>
    </xf>
    <xf numFmtId="0" fontId="9" fillId="0" borderId="115" xfId="0" applyFont="1" applyFill="1" applyBorder="1" applyAlignment="1">
      <alignment horizontal="right" vertical="center"/>
    </xf>
    <xf numFmtId="3" fontId="32" fillId="0" borderId="92" xfId="0" applyNumberFormat="1" applyFont="1" applyFill="1" applyBorder="1" applyAlignment="1">
      <alignment horizontal="right" vertical="center"/>
    </xf>
    <xf numFmtId="3" fontId="32" fillId="0" borderId="92" xfId="0" applyNumberFormat="1" applyFont="1" applyFill="1" applyBorder="1" applyAlignment="1">
      <alignment horizontal="right" vertical="center" wrapText="1"/>
    </xf>
    <xf numFmtId="0" fontId="12" fillId="0" borderId="115" xfId="0" applyFont="1" applyFill="1" applyBorder="1" applyAlignment="1">
      <alignment horizontal="right" vertical="center"/>
    </xf>
    <xf numFmtId="3" fontId="11" fillId="0" borderId="92" xfId="0" applyNumberFormat="1" applyFont="1" applyFill="1" applyBorder="1" applyAlignment="1">
      <alignment horizontal="right" vertical="center"/>
    </xf>
    <xf numFmtId="0" fontId="11" fillId="0" borderId="92" xfId="0" applyFont="1" applyFill="1" applyBorder="1" applyAlignment="1">
      <alignment horizontal="right" vertical="center" wrapText="1"/>
    </xf>
    <xf numFmtId="3" fontId="11" fillId="0" borderId="92" xfId="0" applyNumberFormat="1" applyFont="1" applyFill="1" applyBorder="1" applyAlignment="1">
      <alignment horizontal="right" vertical="center" wrapText="1"/>
    </xf>
    <xf numFmtId="2" fontId="11" fillId="0" borderId="92" xfId="0" applyNumberFormat="1" applyFont="1" applyFill="1" applyBorder="1" applyAlignment="1">
      <alignment horizontal="right" vertical="center" wrapText="1"/>
    </xf>
    <xf numFmtId="0" fontId="11" fillId="0" borderId="115" xfId="0" applyFont="1" applyFill="1" applyBorder="1" applyAlignment="1">
      <alignment horizontal="right" vertical="center"/>
    </xf>
    <xf numFmtId="0" fontId="32" fillId="0" borderId="115" xfId="0" applyFont="1" applyFill="1" applyBorder="1" applyAlignment="1">
      <alignment horizontal="right" vertical="center"/>
    </xf>
    <xf numFmtId="3" fontId="9" fillId="0" borderId="115" xfId="0" applyNumberFormat="1" applyFont="1" applyFill="1" applyBorder="1" applyAlignment="1">
      <alignment horizontal="right" vertical="center" wrapText="1"/>
    </xf>
    <xf numFmtId="3" fontId="9" fillId="0" borderId="92" xfId="0" applyNumberFormat="1" applyFont="1" applyFill="1" applyBorder="1" applyAlignment="1">
      <alignment horizontal="right" vertical="center"/>
    </xf>
    <xf numFmtId="0" fontId="32" fillId="0" borderId="92" xfId="0" applyFont="1" applyFill="1" applyBorder="1" applyAlignment="1">
      <alignment horizontal="right" vertical="center" wrapText="1"/>
    </xf>
    <xf numFmtId="0" fontId="10" fillId="3" borderId="0" xfId="0" applyFont="1" applyFill="1" applyAlignment="1">
      <alignment horizontal="left" vertical="center" wrapText="1"/>
    </xf>
    <xf numFmtId="0" fontId="5" fillId="0" borderId="0" xfId="0" applyFont="1" applyAlignment="1">
      <alignment horizontal="center" vertical="center"/>
    </xf>
    <xf numFmtId="0" fontId="5" fillId="0" borderId="0" xfId="0" applyFont="1" applyFill="1" applyAlignment="1">
      <alignment horizontal="center"/>
    </xf>
    <xf numFmtId="171" fontId="5" fillId="0" borderId="92" xfId="2" applyNumberFormat="1" applyFont="1" applyFill="1" applyBorder="1" applyAlignment="1">
      <alignment horizontal="center" vertical="center" wrapText="1"/>
    </xf>
    <xf numFmtId="171" fontId="4" fillId="0" borderId="150" xfId="0" applyNumberFormat="1" applyFont="1" applyFill="1" applyBorder="1" applyAlignment="1">
      <alignment horizontal="right" vertical="center" wrapText="1"/>
    </xf>
    <xf numFmtId="3" fontId="8" fillId="0" borderId="150" xfId="0" applyNumberFormat="1" applyFont="1" applyFill="1" applyBorder="1" applyAlignment="1">
      <alignment horizontal="right" vertical="center" wrapText="1"/>
    </xf>
    <xf numFmtId="0" fontId="11" fillId="0" borderId="0" xfId="0" applyFont="1" applyAlignment="1">
      <alignment horizontal="left" vertical="top"/>
    </xf>
    <xf numFmtId="0" fontId="20" fillId="0" borderId="0" xfId="10" applyFont="1"/>
    <xf numFmtId="0" fontId="20" fillId="0" borderId="21" xfId="0" applyFont="1" applyFill="1" applyBorder="1" applyAlignment="1">
      <alignment horizontal="center" vertical="center" wrapText="1"/>
    </xf>
    <xf numFmtId="0" fontId="5" fillId="0" borderId="21" xfId="0" quotePrefix="1" applyFont="1" applyFill="1" applyBorder="1" applyAlignment="1">
      <alignment horizontal="center" vertical="center" wrapText="1"/>
    </xf>
    <xf numFmtId="3" fontId="20" fillId="0" borderId="21" xfId="0" applyNumberFormat="1" applyFont="1" applyFill="1" applyBorder="1" applyAlignment="1">
      <alignment vertical="center" wrapText="1"/>
    </xf>
    <xf numFmtId="3" fontId="14" fillId="0" borderId="21" xfId="0" applyNumberFormat="1" applyFont="1" applyFill="1" applyBorder="1" applyAlignment="1">
      <alignment vertical="center"/>
    </xf>
    <xf numFmtId="3" fontId="20" fillId="0" borderId="21" xfId="0" applyNumberFormat="1" applyFont="1" applyFill="1" applyBorder="1" applyAlignment="1">
      <alignment vertical="center"/>
    </xf>
    <xf numFmtId="0" fontId="44" fillId="0" borderId="92" xfId="0" applyFont="1" applyBorder="1" applyAlignment="1">
      <alignment horizontal="center" vertical="center"/>
    </xf>
    <xf numFmtId="0" fontId="44" fillId="0" borderId="92" xfId="0" quotePrefix="1" applyFont="1" applyBorder="1" applyAlignment="1">
      <alignment horizontal="center" vertical="center"/>
    </xf>
    <xf numFmtId="49" fontId="22" fillId="0" borderId="112" xfId="2" applyNumberFormat="1" applyFont="1" applyFill="1" applyBorder="1" applyAlignment="1">
      <alignment horizontal="center" vertical="center" wrapText="1"/>
    </xf>
    <xf numFmtId="3" fontId="5" fillId="0" borderId="92" xfId="2" quotePrefix="1" applyNumberFormat="1" applyFont="1" applyFill="1" applyBorder="1" applyAlignment="1">
      <alignment horizontal="right" vertical="center" wrapText="1"/>
    </xf>
    <xf numFmtId="0" fontId="79" fillId="0" borderId="115" xfId="0" applyFont="1" applyBorder="1" applyAlignment="1">
      <alignment vertical="center"/>
    </xf>
    <xf numFmtId="167" fontId="4" fillId="0" borderId="114" xfId="2" applyNumberFormat="1" applyFont="1" applyBorder="1" applyAlignment="1">
      <alignment horizontal="center" vertical="center" wrapText="1"/>
    </xf>
    <xf numFmtId="0" fontId="4" fillId="0" borderId="155" xfId="0" applyFont="1" applyBorder="1" applyAlignment="1">
      <alignment vertical="center"/>
    </xf>
    <xf numFmtId="0" fontId="11" fillId="0" borderId="156" xfId="0" applyFont="1" applyBorder="1" applyAlignment="1">
      <alignment vertical="top"/>
    </xf>
    <xf numFmtId="0" fontId="11" fillId="0" borderId="157" xfId="0" applyFont="1" applyBorder="1" applyAlignment="1">
      <alignment vertical="top"/>
    </xf>
    <xf numFmtId="0" fontId="11" fillId="0" borderId="158" xfId="0" applyFont="1" applyBorder="1" applyAlignment="1">
      <alignment vertical="top"/>
    </xf>
    <xf numFmtId="41" fontId="5" fillId="0" borderId="46" xfId="8" applyFont="1" applyBorder="1" applyAlignment="1">
      <alignment horizontal="center" vertical="center" wrapText="1"/>
    </xf>
    <xf numFmtId="0" fontId="34" fillId="0" borderId="69" xfId="7" quotePrefix="1" applyFont="1" applyFill="1" applyBorder="1" applyAlignment="1">
      <alignment horizontal="right" vertical="center"/>
    </xf>
    <xf numFmtId="0" fontId="34" fillId="0" borderId="69" xfId="7" quotePrefix="1" applyFont="1" applyFill="1" applyBorder="1" applyAlignment="1">
      <alignment horizontal="center" vertical="center" wrapText="1"/>
    </xf>
    <xf numFmtId="0" fontId="34" fillId="0" borderId="69" xfId="7" applyFont="1" applyFill="1" applyBorder="1" applyAlignment="1">
      <alignment horizontal="center" vertical="center" wrapText="1"/>
    </xf>
    <xf numFmtId="164" fontId="29" fillId="0" borderId="63" xfId="0" applyNumberFormat="1" applyFont="1" applyBorder="1" applyAlignment="1">
      <alignment horizontal="center" vertical="center" wrapText="1"/>
    </xf>
    <xf numFmtId="0" fontId="9" fillId="0" borderId="0" xfId="0" applyFont="1" applyAlignment="1">
      <alignment horizontal="center" vertical="center"/>
    </xf>
    <xf numFmtId="0" fontId="33" fillId="0" borderId="117" xfId="10" applyFont="1" applyBorder="1" applyAlignment="1">
      <alignment horizontal="center" vertical="center"/>
    </xf>
    <xf numFmtId="0" fontId="9" fillId="0" borderId="125" xfId="10" applyFont="1" applyBorder="1" applyAlignment="1">
      <alignment horizontal="center" vertical="center" wrapText="1"/>
    </xf>
    <xf numFmtId="0" fontId="34" fillId="0" borderId="92" xfId="0" applyFont="1" applyFill="1" applyBorder="1" applyAlignment="1">
      <alignment vertical="center" wrapText="1"/>
    </xf>
    <xf numFmtId="167" fontId="4" fillId="0" borderId="5" xfId="1" applyNumberFormat="1" applyFont="1" applyBorder="1" applyAlignment="1">
      <alignment horizontal="right" vertical="center" wrapText="1"/>
    </xf>
    <xf numFmtId="171" fontId="5" fillId="0" borderId="92" xfId="2" applyNumberFormat="1" applyFont="1" applyFill="1" applyBorder="1" applyAlignment="1">
      <alignment horizontal="center" vertical="center" wrapText="1"/>
    </xf>
    <xf numFmtId="0" fontId="8" fillId="5" borderId="114" xfId="0" applyFont="1" applyFill="1" applyBorder="1" applyAlignment="1">
      <alignment horizontal="center" vertical="center" wrapText="1"/>
    </xf>
    <xf numFmtId="0" fontId="8" fillId="5" borderId="92" xfId="0" applyFont="1" applyFill="1" applyBorder="1" applyAlignment="1">
      <alignment horizontal="left" vertical="center" wrapText="1"/>
    </xf>
    <xf numFmtId="0" fontId="8" fillId="5" borderId="92" xfId="0" applyFont="1" applyFill="1" applyBorder="1" applyAlignment="1">
      <alignment horizontal="center" vertical="center" wrapText="1"/>
    </xf>
    <xf numFmtId="165" fontId="8" fillId="5" borderId="92" xfId="1" applyFont="1" applyFill="1" applyBorder="1" applyAlignment="1">
      <alignment horizontal="center" vertical="center" wrapText="1"/>
    </xf>
    <xf numFmtId="1" fontId="8" fillId="5" borderId="92" xfId="1" applyNumberFormat="1" applyFont="1" applyFill="1" applyBorder="1" applyAlignment="1">
      <alignment horizontal="center" vertical="center" wrapText="1"/>
    </xf>
    <xf numFmtId="0" fontId="8" fillId="5" borderId="115" xfId="0" applyFont="1" applyFill="1" applyBorder="1" applyAlignment="1">
      <alignment vertical="center"/>
    </xf>
    <xf numFmtId="171" fontId="3" fillId="0" borderId="0" xfId="0" applyNumberFormat="1" applyFont="1" applyFill="1" applyAlignment="1">
      <alignment horizontal="center"/>
    </xf>
    <xf numFmtId="171" fontId="5" fillId="0" borderId="0" xfId="0" applyNumberFormat="1" applyFont="1" applyFill="1" applyAlignment="1">
      <alignment horizontal="center"/>
    </xf>
    <xf numFmtId="171" fontId="6" fillId="0" borderId="0" xfId="0" applyNumberFormat="1" applyFont="1" applyFill="1"/>
    <xf numFmtId="171" fontId="4" fillId="5" borderId="92" xfId="0" applyNumberFormat="1" applyFont="1" applyFill="1" applyBorder="1" applyAlignment="1">
      <alignment horizontal="right" vertical="center"/>
    </xf>
    <xf numFmtId="171" fontId="4" fillId="0" borderId="0" xfId="0" applyNumberFormat="1" applyFont="1" applyFill="1" applyAlignment="1">
      <alignment wrapText="1"/>
    </xf>
    <xf numFmtId="171" fontId="4" fillId="0" borderId="0" xfId="0" quotePrefix="1" applyNumberFormat="1" applyFont="1" applyFill="1"/>
    <xf numFmtId="171" fontId="4" fillId="0" borderId="0" xfId="0" quotePrefix="1" applyNumberFormat="1" applyFont="1" applyFill="1" applyAlignment="1">
      <alignment horizontal="left"/>
    </xf>
    <xf numFmtId="171" fontId="0" fillId="0" borderId="0" xfId="0" applyNumberFormat="1" applyFont="1" applyFill="1" applyAlignment="1">
      <alignment wrapText="1"/>
    </xf>
    <xf numFmtId="170" fontId="3" fillId="0" borderId="0" xfId="0" applyNumberFormat="1" applyFont="1" applyFill="1" applyAlignment="1">
      <alignment horizontal="center"/>
    </xf>
    <xf numFmtId="170" fontId="5" fillId="0" borderId="0" xfId="0" applyNumberFormat="1" applyFont="1" applyFill="1" applyAlignment="1">
      <alignment horizontal="center"/>
    </xf>
    <xf numFmtId="170" fontId="5" fillId="0" borderId="92" xfId="2" applyNumberFormat="1" applyFont="1" applyFill="1" applyBorder="1" applyAlignment="1">
      <alignment horizontal="center" vertical="center" wrapText="1"/>
    </xf>
    <xf numFmtId="170" fontId="5" fillId="0" borderId="92" xfId="1" applyNumberFormat="1" applyFont="1" applyFill="1" applyBorder="1" applyAlignment="1">
      <alignment horizontal="right" vertical="center" wrapText="1"/>
    </xf>
    <xf numFmtId="170" fontId="5" fillId="0" borderId="92" xfId="0" applyNumberFormat="1" applyFont="1" applyFill="1" applyBorder="1" applyAlignment="1">
      <alignment horizontal="right" vertical="center" wrapText="1"/>
    </xf>
    <xf numFmtId="170" fontId="4" fillId="0" borderId="92" xfId="0" applyNumberFormat="1" applyFont="1" applyFill="1" applyBorder="1" applyAlignment="1">
      <alignment horizontal="right" vertical="center"/>
    </xf>
    <xf numFmtId="170" fontId="4" fillId="0" borderId="92" xfId="0" applyNumberFormat="1" applyFont="1" applyFill="1" applyBorder="1" applyAlignment="1">
      <alignment horizontal="right" vertical="center" wrapText="1"/>
    </xf>
    <xf numFmtId="170" fontId="4" fillId="5" borderId="92" xfId="0" applyNumberFormat="1" applyFont="1" applyFill="1" applyBorder="1" applyAlignment="1">
      <alignment horizontal="right" vertical="center"/>
    </xf>
    <xf numFmtId="170" fontId="5" fillId="0" borderId="92" xfId="0" applyNumberFormat="1" applyFont="1" applyFill="1" applyBorder="1" applyAlignment="1">
      <alignment horizontal="right" vertical="center"/>
    </xf>
    <xf numFmtId="170" fontId="4" fillId="0" borderId="117" xfId="0" applyNumberFormat="1" applyFont="1" applyFill="1" applyBorder="1" applyAlignment="1">
      <alignment horizontal="right" vertical="center" wrapText="1"/>
    </xf>
    <xf numFmtId="170" fontId="4" fillId="0" borderId="0" xfId="0" quotePrefix="1" applyNumberFormat="1" applyFont="1" applyFill="1"/>
    <xf numFmtId="170" fontId="4" fillId="0" borderId="0" xfId="0" quotePrefix="1" applyNumberFormat="1" applyFont="1" applyFill="1" applyAlignment="1">
      <alignment horizontal="left"/>
    </xf>
    <xf numFmtId="170" fontId="0" fillId="0" borderId="0" xfId="0" applyNumberFormat="1" applyFont="1" applyFill="1" applyAlignment="1">
      <alignment wrapText="1"/>
    </xf>
    <xf numFmtId="170" fontId="17" fillId="5" borderId="92" xfId="0" applyNumberFormat="1" applyFont="1" applyFill="1" applyBorder="1" applyAlignment="1">
      <alignment horizontal="right" vertical="center"/>
    </xf>
    <xf numFmtId="0" fontId="5" fillId="0" borderId="52" xfId="0" applyFont="1" applyBorder="1" applyAlignment="1">
      <alignment horizontal="right" vertical="center" wrapText="1"/>
    </xf>
    <xf numFmtId="41" fontId="5" fillId="0" borderId="53" xfId="8" applyFont="1" applyBorder="1" applyAlignment="1">
      <alignment horizontal="center" vertical="center" wrapText="1"/>
    </xf>
    <xf numFmtId="0" fontId="17" fillId="0" borderId="92" xfId="0" applyFont="1" applyBorder="1" applyAlignment="1">
      <alignment vertical="center" wrapText="1"/>
    </xf>
    <xf numFmtId="0" fontId="17" fillId="0" borderId="92" xfId="0" applyFont="1" applyBorder="1" applyAlignment="1">
      <alignment vertical="center"/>
    </xf>
    <xf numFmtId="167" fontId="17" fillId="0" borderId="92" xfId="2" applyNumberFormat="1" applyFont="1" applyBorder="1" applyAlignment="1">
      <alignment horizontal="center" vertical="center" wrapText="1"/>
    </xf>
    <xf numFmtId="41" fontId="17" fillId="0" borderId="92" xfId="8" applyNumberFormat="1" applyFont="1" applyBorder="1" applyAlignment="1">
      <alignment horizontal="center" vertical="center" wrapText="1"/>
    </xf>
    <xf numFmtId="3" fontId="17" fillId="0" borderId="92" xfId="2" applyNumberFormat="1" applyFont="1" applyBorder="1" applyAlignment="1">
      <alignment horizontal="right" vertical="center" wrapText="1"/>
    </xf>
    <xf numFmtId="167" fontId="17" fillId="0" borderId="115" xfId="2" applyNumberFormat="1" applyFont="1" applyBorder="1" applyAlignment="1">
      <alignment horizontal="center" vertical="center" wrapText="1"/>
    </xf>
    <xf numFmtId="0" fontId="16" fillId="0" borderId="57" xfId="0" applyFont="1" applyBorder="1" applyAlignment="1">
      <alignment horizontal="left" vertical="center" wrapText="1"/>
    </xf>
    <xf numFmtId="0" fontId="16" fillId="0" borderId="57" xfId="0" applyFont="1" applyBorder="1" applyAlignment="1">
      <alignment horizontal="justify" vertical="center" wrapText="1"/>
    </xf>
    <xf numFmtId="3" fontId="16" fillId="0" borderId="57" xfId="0" applyNumberFormat="1" applyFont="1" applyBorder="1" applyAlignment="1">
      <alignment horizontal="right" vertical="center" wrapText="1"/>
    </xf>
    <xf numFmtId="0" fontId="16" fillId="0" borderId="57" xfId="0" applyFont="1" applyBorder="1" applyAlignment="1">
      <alignment horizontal="center" vertical="center" wrapText="1"/>
    </xf>
    <xf numFmtId="0" fontId="80" fillId="0" borderId="92" xfId="0" applyFont="1" applyBorder="1" applyAlignment="1">
      <alignment vertical="center"/>
    </xf>
    <xf numFmtId="167" fontId="80" fillId="0" borderId="92" xfId="2" applyNumberFormat="1" applyFont="1" applyBorder="1" applyAlignment="1">
      <alignment horizontal="center" vertical="center" wrapText="1"/>
    </xf>
    <xf numFmtId="41" fontId="80" fillId="0" borderId="92" xfId="8" applyNumberFormat="1" applyFont="1" applyBorder="1" applyAlignment="1">
      <alignment horizontal="center" vertical="center" wrapText="1"/>
    </xf>
    <xf numFmtId="0" fontId="39" fillId="0" borderId="115" xfId="0" applyFont="1" applyBorder="1" applyAlignment="1">
      <alignment horizontal="center" vertical="center" wrapText="1"/>
    </xf>
    <xf numFmtId="0" fontId="47" fillId="0" borderId="0" xfId="0" applyFont="1" applyAlignment="1">
      <alignment horizontal="center" vertical="center"/>
    </xf>
    <xf numFmtId="1" fontId="0" fillId="0" borderId="0" xfId="0" applyNumberFormat="1" applyAlignment="1">
      <alignment horizontal="center" vertical="center"/>
    </xf>
    <xf numFmtId="0" fontId="5" fillId="0" borderId="0" xfId="0" applyFont="1" applyAlignment="1">
      <alignment horizontal="center" vertical="center" wrapText="1"/>
    </xf>
    <xf numFmtId="1" fontId="20" fillId="0" borderId="0" xfId="0" applyNumberFormat="1" applyFont="1" applyAlignment="1">
      <alignment horizontal="center" vertical="center"/>
    </xf>
    <xf numFmtId="0" fontId="10" fillId="3" borderId="0" xfId="0" applyFont="1" applyFill="1" applyAlignment="1">
      <alignment horizontal="left" vertical="center" wrapText="1"/>
    </xf>
    <xf numFmtId="0" fontId="3"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20" fillId="0" borderId="0" xfId="0" applyFont="1" applyAlignment="1">
      <alignment horizontal="center" vertical="center"/>
    </xf>
    <xf numFmtId="0" fontId="6" fillId="0" borderId="0" xfId="0" applyFont="1" applyBorder="1" applyAlignment="1">
      <alignment horizontal="right" vertical="center"/>
    </xf>
    <xf numFmtId="0" fontId="10" fillId="0" borderId="0" xfId="0" applyFont="1" applyFill="1" applyAlignment="1">
      <alignment horizontal="left" wrapText="1"/>
    </xf>
    <xf numFmtId="0" fontId="14" fillId="0" borderId="0" xfId="0" applyFont="1" applyFill="1" applyAlignment="1">
      <alignment horizontal="left" wrapText="1"/>
    </xf>
    <xf numFmtId="0" fontId="3" fillId="0" borderId="0" xfId="0" applyFont="1" applyFill="1" applyAlignment="1">
      <alignment wrapText="1"/>
    </xf>
    <xf numFmtId="0" fontId="5" fillId="0" borderId="0" xfId="0" applyFont="1" applyFill="1" applyAlignment="1">
      <alignment horizontal="right"/>
    </xf>
    <xf numFmtId="0" fontId="5" fillId="0" borderId="0" xfId="0" applyFont="1" applyFill="1" applyAlignment="1">
      <alignment horizontal="center" vertical="center"/>
    </xf>
    <xf numFmtId="0" fontId="6" fillId="0" borderId="0" xfId="0" applyFont="1" applyFill="1" applyBorder="1" applyAlignment="1">
      <alignment horizontal="right"/>
    </xf>
    <xf numFmtId="0" fontId="6" fillId="0" borderId="0" xfId="0" applyFont="1" applyFill="1" applyAlignment="1">
      <alignment horizontal="center" wrapText="1"/>
    </xf>
    <xf numFmtId="0" fontId="3" fillId="0" borderId="0" xfId="0" applyFont="1" applyFill="1" applyAlignment="1">
      <alignment horizontal="center"/>
    </xf>
    <xf numFmtId="0" fontId="54" fillId="3" borderId="0" xfId="0" applyFont="1" applyFill="1" applyAlignment="1">
      <alignment horizontal="center" wrapText="1"/>
    </xf>
    <xf numFmtId="0" fontId="10" fillId="3" borderId="0" xfId="0" applyFont="1" applyFill="1" applyAlignment="1">
      <alignment horizontal="left" wrapText="1"/>
    </xf>
    <xf numFmtId="0" fontId="14" fillId="3" borderId="0" xfId="0" applyFont="1" applyFill="1" applyAlignment="1">
      <alignment horizontal="left" wrapText="1"/>
    </xf>
    <xf numFmtId="0" fontId="5" fillId="0" borderId="0" xfId="0" applyFont="1" applyAlignment="1">
      <alignment horizontal="right"/>
    </xf>
    <xf numFmtId="0" fontId="3" fillId="0" borderId="0" xfId="0" applyFont="1" applyAlignment="1">
      <alignment horizontal="center"/>
    </xf>
    <xf numFmtId="0" fontId="6" fillId="0" borderId="154" xfId="0" applyFont="1" applyBorder="1" applyAlignment="1">
      <alignment horizontal="center" wrapText="1"/>
    </xf>
    <xf numFmtId="0" fontId="5" fillId="0" borderId="0" xfId="0" applyFont="1" applyAlignment="1">
      <alignment horizontal="center"/>
    </xf>
    <xf numFmtId="0" fontId="6" fillId="0" borderId="0" xfId="0" applyFont="1" applyBorder="1" applyAlignment="1">
      <alignment horizontal="right"/>
    </xf>
    <xf numFmtId="0" fontId="6" fillId="0" borderId="0" xfId="0" applyFont="1" applyAlignment="1">
      <alignment horizontal="center" wrapText="1"/>
    </xf>
    <xf numFmtId="169" fontId="4" fillId="0" borderId="0" xfId="0" applyNumberFormat="1" applyFont="1" applyFill="1" applyAlignment="1">
      <alignment horizontal="left" wrapText="1"/>
    </xf>
    <xf numFmtId="167" fontId="5" fillId="0" borderId="103" xfId="2" applyNumberFormat="1" applyFont="1" applyFill="1" applyBorder="1" applyAlignment="1">
      <alignment horizontal="center" vertical="center" wrapText="1"/>
    </xf>
    <xf numFmtId="167" fontId="5" fillId="0" borderId="66" xfId="2" applyNumberFormat="1" applyFont="1" applyFill="1" applyBorder="1" applyAlignment="1">
      <alignment horizontal="center" vertical="center" wrapText="1"/>
    </xf>
    <xf numFmtId="167" fontId="5" fillId="0" borderId="104" xfId="2" applyNumberFormat="1" applyFont="1" applyFill="1" applyBorder="1" applyAlignment="1">
      <alignment horizontal="center" vertical="center" wrapText="1"/>
    </xf>
    <xf numFmtId="167" fontId="5" fillId="0" borderId="110" xfId="2" applyNumberFormat="1" applyFont="1" applyFill="1" applyBorder="1" applyAlignment="1">
      <alignment horizontal="center" vertical="center" wrapText="1"/>
    </xf>
    <xf numFmtId="0" fontId="24" fillId="0" borderId="0" xfId="0" applyFont="1" applyFill="1" applyAlignment="1">
      <alignment horizontal="left" wrapText="1"/>
    </xf>
    <xf numFmtId="0" fontId="25" fillId="0" borderId="0" xfId="0" applyFont="1" applyFill="1" applyAlignment="1">
      <alignment horizontal="left" wrapText="1"/>
    </xf>
    <xf numFmtId="170" fontId="5" fillId="0" borderId="103" xfId="2" applyNumberFormat="1" applyFont="1" applyFill="1" applyBorder="1" applyAlignment="1">
      <alignment horizontal="center" vertical="center" wrapText="1"/>
    </xf>
    <xf numFmtId="170" fontId="5" fillId="0" borderId="66" xfId="2" applyNumberFormat="1" applyFont="1" applyFill="1" applyBorder="1" applyAlignment="1">
      <alignment horizontal="center" vertical="center" wrapText="1"/>
    </xf>
    <xf numFmtId="3" fontId="5" fillId="0" borderId="103" xfId="2" applyNumberFormat="1" applyFont="1" applyFill="1" applyBorder="1" applyAlignment="1">
      <alignment horizontal="center" vertical="center" wrapText="1"/>
    </xf>
    <xf numFmtId="3" fontId="5" fillId="0" borderId="66" xfId="2" applyNumberFormat="1" applyFont="1" applyFill="1" applyBorder="1" applyAlignment="1">
      <alignment horizontal="center" vertical="center" wrapText="1"/>
    </xf>
    <xf numFmtId="167" fontId="21" fillId="0" borderId="103" xfId="2" applyNumberFormat="1" applyFont="1" applyFill="1" applyBorder="1" applyAlignment="1">
      <alignment horizontal="center" vertical="center" wrapText="1"/>
    </xf>
    <xf numFmtId="167" fontId="21" fillId="0" borderId="66" xfId="2" applyNumberFormat="1" applyFont="1" applyFill="1" applyBorder="1" applyAlignment="1">
      <alignment horizontal="center" vertical="center" wrapText="1"/>
    </xf>
    <xf numFmtId="167" fontId="5" fillId="0" borderId="102" xfId="2" applyNumberFormat="1" applyFont="1" applyFill="1" applyBorder="1" applyAlignment="1">
      <alignment horizontal="left" vertical="center" wrapText="1"/>
    </xf>
    <xf numFmtId="167" fontId="5" fillId="0" borderId="109" xfId="2" applyNumberFormat="1" applyFont="1" applyFill="1" applyBorder="1" applyAlignment="1">
      <alignment horizontal="left" vertical="center" wrapText="1"/>
    </xf>
    <xf numFmtId="0" fontId="26" fillId="0" borderId="0" xfId="0" applyFont="1" applyFill="1" applyAlignment="1">
      <alignment horizontal="center" vertical="center"/>
    </xf>
    <xf numFmtId="0" fontId="5" fillId="0" borderId="0" xfId="0" applyFont="1" applyFill="1" applyAlignment="1">
      <alignment horizontal="center" wrapText="1"/>
    </xf>
    <xf numFmtId="0" fontId="5" fillId="0" borderId="0" xfId="0" applyFont="1" applyFill="1" applyAlignment="1">
      <alignment horizontal="center"/>
    </xf>
    <xf numFmtId="0" fontId="20" fillId="0" borderId="0" xfId="0" applyFont="1" applyFill="1" applyAlignment="1">
      <alignment horizontal="center" vertical="center"/>
    </xf>
    <xf numFmtId="0" fontId="50" fillId="0" borderId="0" xfId="0" applyFont="1" applyFill="1" applyAlignment="1">
      <alignment horizontal="center" vertical="center"/>
    </xf>
    <xf numFmtId="0" fontId="68" fillId="0" borderId="0" xfId="0" applyFont="1" applyFill="1" applyAlignment="1">
      <alignment horizontal="center" vertical="center"/>
    </xf>
    <xf numFmtId="167" fontId="5" fillId="0" borderId="111" xfId="2" applyNumberFormat="1" applyFont="1" applyFill="1" applyBorder="1" applyAlignment="1">
      <alignment horizontal="center" vertical="center" wrapText="1"/>
    </xf>
    <xf numFmtId="167" fontId="5" fillId="0" borderId="114" xfId="2" applyNumberFormat="1" applyFont="1" applyFill="1" applyBorder="1" applyAlignment="1">
      <alignment horizontal="center" vertical="center" wrapText="1"/>
    </xf>
    <xf numFmtId="167" fontId="5" fillId="0" borderId="112" xfId="2" applyNumberFormat="1" applyFont="1" applyFill="1" applyBorder="1" applyAlignment="1">
      <alignment horizontal="center" vertical="center" wrapText="1"/>
    </xf>
    <xf numFmtId="167" fontId="5" fillId="0" borderId="92" xfId="2" applyNumberFormat="1" applyFont="1" applyFill="1" applyBorder="1" applyAlignment="1">
      <alignment horizontal="center" vertical="center" wrapText="1"/>
    </xf>
    <xf numFmtId="170" fontId="5" fillId="0" borderId="112" xfId="2" applyNumberFormat="1" applyFont="1" applyFill="1" applyBorder="1" applyAlignment="1">
      <alignment horizontal="center" vertical="center" wrapText="1"/>
    </xf>
    <xf numFmtId="170" fontId="5" fillId="0" borderId="92" xfId="2" applyNumberFormat="1" applyFont="1" applyFill="1" applyBorder="1" applyAlignment="1">
      <alignment horizontal="center" vertical="center" wrapText="1"/>
    </xf>
    <xf numFmtId="167" fontId="21" fillId="0" borderId="112" xfId="2" applyNumberFormat="1" applyFont="1" applyFill="1" applyBorder="1" applyAlignment="1">
      <alignment horizontal="center" vertical="center" wrapText="1"/>
    </xf>
    <xf numFmtId="167" fontId="21" fillId="0" borderId="92" xfId="2" applyNumberFormat="1" applyFont="1" applyFill="1" applyBorder="1" applyAlignment="1">
      <alignment horizontal="center" vertical="center" wrapText="1"/>
    </xf>
    <xf numFmtId="167" fontId="5" fillId="0" borderId="113" xfId="2" applyNumberFormat="1" applyFont="1" applyFill="1" applyBorder="1" applyAlignment="1">
      <alignment horizontal="center" vertical="center" wrapText="1"/>
    </xf>
    <xf numFmtId="167" fontId="5" fillId="0" borderId="115" xfId="2" applyNumberFormat="1" applyFont="1" applyFill="1" applyBorder="1" applyAlignment="1">
      <alignment horizontal="center" vertical="center" wrapText="1"/>
    </xf>
    <xf numFmtId="0" fontId="20" fillId="0" borderId="0" xfId="0" applyFont="1" applyFill="1" applyAlignment="1">
      <alignment horizontal="center" wrapText="1"/>
    </xf>
    <xf numFmtId="0" fontId="38" fillId="0" borderId="0" xfId="0" applyFont="1" applyFill="1" applyAlignment="1">
      <alignment horizontal="center" vertical="center"/>
    </xf>
    <xf numFmtId="0" fontId="29" fillId="0" borderId="0" xfId="0" applyFont="1" applyFill="1" applyAlignment="1">
      <alignment horizontal="center"/>
    </xf>
    <xf numFmtId="0" fontId="5" fillId="0" borderId="0" xfId="0" applyFont="1" applyFill="1" applyAlignment="1">
      <alignment horizontal="left" wrapText="1"/>
    </xf>
    <xf numFmtId="0" fontId="4" fillId="0" borderId="0" xfId="0" applyFont="1" applyFill="1" applyAlignment="1">
      <alignment horizontal="left" wrapText="1"/>
    </xf>
    <xf numFmtId="0" fontId="6" fillId="0" borderId="154" xfId="0" applyFont="1" applyFill="1" applyBorder="1" applyAlignment="1">
      <alignment horizontal="center" wrapText="1"/>
    </xf>
    <xf numFmtId="0" fontId="5" fillId="0" borderId="0" xfId="0" applyFont="1" applyFill="1" applyAlignment="1">
      <alignment horizontal="center" vertical="center" wrapText="1"/>
    </xf>
    <xf numFmtId="171" fontId="5" fillId="0" borderId="112" xfId="2" applyNumberFormat="1" applyFont="1" applyFill="1" applyBorder="1" applyAlignment="1">
      <alignment horizontal="center" vertical="center" wrapText="1"/>
    </xf>
    <xf numFmtId="171" fontId="5" fillId="0" borderId="92" xfId="2" applyNumberFormat="1" applyFont="1" applyFill="1" applyBorder="1" applyAlignment="1">
      <alignment horizontal="center" vertical="center" wrapText="1"/>
    </xf>
    <xf numFmtId="0" fontId="4" fillId="0" borderId="0" xfId="0" applyFont="1" applyAlignment="1">
      <alignment horizontal="left" wrapText="1"/>
    </xf>
    <xf numFmtId="169" fontId="4" fillId="0" borderId="0" xfId="0" applyNumberFormat="1" applyFont="1" applyAlignment="1">
      <alignment horizontal="left" wrapText="1"/>
    </xf>
    <xf numFmtId="0" fontId="68" fillId="0" borderId="0" xfId="0" applyFont="1" applyAlignment="1">
      <alignment horizontal="center" vertical="center"/>
    </xf>
    <xf numFmtId="171" fontId="21" fillId="0" borderId="112" xfId="2" applyNumberFormat="1" applyFont="1" applyFill="1" applyBorder="1" applyAlignment="1">
      <alignment horizontal="center" vertical="center" wrapText="1"/>
    </xf>
    <xf numFmtId="171" fontId="21" fillId="0" borderId="92" xfId="2" applyNumberFormat="1" applyFont="1" applyFill="1" applyBorder="1" applyAlignment="1">
      <alignment horizontal="center" vertical="center" wrapText="1"/>
    </xf>
    <xf numFmtId="0" fontId="38" fillId="0" borderId="0" xfId="0" applyFont="1" applyAlignment="1">
      <alignment horizontal="center" vertical="center"/>
    </xf>
    <xf numFmtId="0" fontId="5" fillId="0" borderId="0" xfId="0" applyFont="1" applyAlignment="1">
      <alignment horizontal="center" wrapText="1"/>
    </xf>
    <xf numFmtId="0" fontId="20" fillId="0" borderId="0" xfId="0" applyFont="1" applyAlignment="1">
      <alignment horizontal="center" wrapText="1"/>
    </xf>
    <xf numFmtId="0" fontId="5" fillId="0" borderId="0" xfId="0" applyFont="1" applyFill="1" applyBorder="1" applyAlignment="1">
      <alignment horizontal="center" vertical="center" wrapText="1"/>
    </xf>
    <xf numFmtId="3" fontId="6" fillId="0" borderId="92" xfId="0" applyNumberFormat="1" applyFont="1" applyFill="1" applyBorder="1" applyAlignment="1">
      <alignment wrapText="1"/>
    </xf>
    <xf numFmtId="3" fontId="6" fillId="0" borderId="115" xfId="0" applyNumberFormat="1" applyFont="1" applyFill="1" applyBorder="1" applyAlignment="1">
      <alignment wrapText="1"/>
    </xf>
    <xf numFmtId="168" fontId="5" fillId="0" borderId="112" xfId="2" applyNumberFormat="1" applyFont="1" applyFill="1" applyBorder="1" applyAlignment="1">
      <alignment horizontal="center" vertical="center" wrapText="1"/>
    </xf>
    <xf numFmtId="168" fontId="5" fillId="0" borderId="92" xfId="2" applyNumberFormat="1" applyFont="1" applyFill="1" applyBorder="1" applyAlignment="1">
      <alignment horizontal="center" vertical="center" wrapText="1"/>
    </xf>
    <xf numFmtId="168" fontId="21" fillId="0" borderId="112" xfId="2" applyNumberFormat="1" applyFont="1" applyFill="1" applyBorder="1" applyAlignment="1">
      <alignment horizontal="center" vertical="center" wrapText="1"/>
    </xf>
    <xf numFmtId="168" fontId="21" fillId="0" borderId="92" xfId="2" applyNumberFormat="1" applyFont="1" applyFill="1" applyBorder="1" applyAlignment="1">
      <alignment horizontal="center" vertical="center" wrapText="1"/>
    </xf>
    <xf numFmtId="0" fontId="36" fillId="0" borderId="12" xfId="0" applyFont="1" applyBorder="1" applyAlignment="1">
      <alignment horizontal="right" wrapText="1"/>
    </xf>
    <xf numFmtId="0" fontId="29" fillId="0" borderId="0" xfId="0" applyFont="1" applyAlignment="1">
      <alignment horizontal="center" vertical="center" wrapText="1"/>
    </xf>
    <xf numFmtId="167" fontId="5" fillId="0" borderId="14" xfId="2" applyNumberFormat="1" applyFont="1" applyFill="1" applyBorder="1" applyAlignment="1">
      <alignment horizontal="center" vertical="center" wrapText="1"/>
    </xf>
    <xf numFmtId="167" fontId="5" fillId="0" borderId="17" xfId="2" applyNumberFormat="1" applyFont="1" applyFill="1" applyBorder="1" applyAlignment="1">
      <alignment horizontal="center" vertical="center" wrapText="1"/>
    </xf>
    <xf numFmtId="167" fontId="29" fillId="0" borderId="14" xfId="2" applyNumberFormat="1" applyFont="1" applyFill="1" applyBorder="1" applyAlignment="1">
      <alignment horizontal="center" vertical="center" wrapText="1"/>
    </xf>
    <xf numFmtId="167" fontId="29" fillId="0" borderId="17" xfId="2" applyNumberFormat="1" applyFont="1" applyFill="1" applyBorder="1" applyAlignment="1">
      <alignment horizontal="center" vertical="center" wrapText="1"/>
    </xf>
    <xf numFmtId="0" fontId="29" fillId="0" borderId="0" xfId="0" applyFont="1" applyAlignment="1">
      <alignment horizontal="left"/>
    </xf>
    <xf numFmtId="0" fontId="48" fillId="0" borderId="0" xfId="0" applyFont="1" applyAlignment="1">
      <alignment horizontal="center" vertical="center"/>
    </xf>
    <xf numFmtId="0" fontId="37" fillId="0" borderId="0" xfId="0" applyFont="1" applyAlignment="1">
      <alignment horizontal="center" vertical="center"/>
    </xf>
    <xf numFmtId="167" fontId="29" fillId="0" borderId="13" xfId="2" applyNumberFormat="1" applyFont="1" applyFill="1" applyBorder="1" applyAlignment="1">
      <alignment horizontal="center" vertical="center" wrapText="1"/>
    </xf>
    <xf numFmtId="167" fontId="29" fillId="0" borderId="16" xfId="2" applyNumberFormat="1" applyFont="1" applyFill="1" applyBorder="1" applyAlignment="1">
      <alignment horizontal="center" vertical="center" wrapText="1"/>
    </xf>
    <xf numFmtId="167" fontId="54" fillId="0" borderId="14" xfId="2" applyNumberFormat="1" applyFont="1" applyBorder="1" applyAlignment="1">
      <alignment horizontal="center" vertical="center" wrapText="1"/>
    </xf>
    <xf numFmtId="167" fontId="54" fillId="0" borderId="17" xfId="2" applyNumberFormat="1" applyFont="1" applyBorder="1" applyAlignment="1">
      <alignment horizontal="center" vertical="center" wrapText="1"/>
    </xf>
    <xf numFmtId="167" fontId="29" fillId="0" borderId="15" xfId="2" applyNumberFormat="1" applyFont="1" applyFill="1" applyBorder="1" applyAlignment="1">
      <alignment horizontal="center" vertical="center" wrapText="1"/>
    </xf>
    <xf numFmtId="167" fontId="29" fillId="0" borderId="19" xfId="2" applyNumberFormat="1" applyFont="1" applyFill="1" applyBorder="1" applyAlignment="1">
      <alignment horizontal="center" vertical="center" wrapText="1"/>
    </xf>
    <xf numFmtId="0" fontId="50" fillId="0" borderId="0" xfId="0" applyFont="1" applyAlignment="1">
      <alignment horizontal="center" vertical="center"/>
    </xf>
    <xf numFmtId="167" fontId="5" fillId="0" borderId="103" xfId="2" applyNumberFormat="1" applyFont="1" applyBorder="1" applyAlignment="1">
      <alignment horizontal="center" vertical="center" wrapText="1"/>
    </xf>
    <xf numFmtId="0" fontId="20" fillId="0" borderId="0" xfId="0" applyFont="1" applyAlignment="1">
      <alignment horizontal="center"/>
    </xf>
    <xf numFmtId="0" fontId="6" fillId="0" borderId="0" xfId="0" applyFont="1" applyAlignment="1">
      <alignment horizontal="right"/>
    </xf>
    <xf numFmtId="167" fontId="5" fillId="0" borderId="129" xfId="2" applyNumberFormat="1" applyFont="1" applyBorder="1" applyAlignment="1">
      <alignment horizontal="center" vertical="center" wrapText="1"/>
    </xf>
    <xf numFmtId="167" fontId="5" fillId="0" borderId="106" xfId="2" applyNumberFormat="1" applyFont="1" applyBorder="1" applyAlignment="1">
      <alignment horizontal="center" vertical="center" wrapText="1"/>
    </xf>
    <xf numFmtId="0" fontId="30" fillId="0" borderId="0" xfId="0" applyFont="1" applyAlignment="1">
      <alignment horizontal="left" wrapText="1"/>
    </xf>
    <xf numFmtId="167" fontId="5" fillId="0" borderId="127" xfId="2" applyNumberFormat="1" applyFont="1" applyBorder="1" applyAlignment="1">
      <alignment horizontal="center" vertical="center" wrapText="1"/>
    </xf>
    <xf numFmtId="167" fontId="5" fillId="0" borderId="107" xfId="2" applyNumberFormat="1" applyFont="1" applyBorder="1" applyAlignment="1">
      <alignment horizontal="center" vertical="center" wrapText="1"/>
    </xf>
    <xf numFmtId="167" fontId="5" fillId="0" borderId="128" xfId="2" applyNumberFormat="1" applyFont="1" applyBorder="1" applyAlignment="1">
      <alignment horizontal="center" vertical="center" wrapText="1"/>
    </xf>
    <xf numFmtId="167" fontId="5" fillId="0" borderId="18" xfId="2" applyNumberFormat="1" applyFont="1" applyBorder="1" applyAlignment="1">
      <alignment horizontal="center" vertical="center" wrapText="1"/>
    </xf>
    <xf numFmtId="0" fontId="28" fillId="0" borderId="0" xfId="0" applyFont="1" applyAlignment="1">
      <alignment horizontal="center"/>
    </xf>
    <xf numFmtId="0" fontId="49" fillId="0" borderId="0" xfId="0" applyFont="1" applyAlignment="1">
      <alignment horizontal="center"/>
    </xf>
    <xf numFmtId="0" fontId="8" fillId="0" borderId="141" xfId="0" applyFont="1" applyBorder="1" applyAlignment="1">
      <alignment horizontal="center" vertical="center" wrapText="1"/>
    </xf>
    <xf numFmtId="0" fontId="8" fillId="0" borderId="142" xfId="0" applyFont="1" applyBorder="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left" vertical="center" wrapText="1"/>
    </xf>
    <xf numFmtId="0" fontId="29" fillId="0" borderId="0" xfId="0" quotePrefix="1" applyFont="1" applyAlignment="1">
      <alignment vertical="center" wrapText="1"/>
    </xf>
    <xf numFmtId="0" fontId="29" fillId="0" borderId="0" xfId="0" applyFont="1" applyAlignment="1">
      <alignment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28" fillId="0" borderId="0" xfId="0" applyFont="1" applyAlignment="1">
      <alignment horizontal="left" vertical="center"/>
    </xf>
    <xf numFmtId="0" fontId="5" fillId="0" borderId="0" xfId="0" applyFont="1" applyAlignment="1">
      <alignment horizontal="left" vertical="center"/>
    </xf>
    <xf numFmtId="0" fontId="8" fillId="0" borderId="138" xfId="0" applyFont="1" applyBorder="1" applyAlignment="1">
      <alignment horizontal="center" vertical="center" wrapText="1"/>
    </xf>
    <xf numFmtId="0" fontId="8" fillId="0" borderId="139" xfId="0" applyFont="1" applyBorder="1" applyAlignment="1">
      <alignment horizontal="center" vertical="center" wrapText="1"/>
    </xf>
    <xf numFmtId="0" fontId="29" fillId="0" borderId="0" xfId="0" applyFont="1" applyAlignment="1">
      <alignment horizontal="center" vertical="center"/>
    </xf>
    <xf numFmtId="0" fontId="28" fillId="0" borderId="0" xfId="0" applyFont="1" applyAlignment="1">
      <alignment horizontal="center" vertical="center"/>
    </xf>
    <xf numFmtId="0" fontId="8" fillId="0" borderId="116" xfId="0" applyFont="1" applyBorder="1" applyAlignment="1">
      <alignment horizontal="center" vertical="center" wrapText="1"/>
    </xf>
    <xf numFmtId="0" fontId="8" fillId="0" borderId="117" xfId="0" applyFont="1" applyBorder="1" applyAlignment="1">
      <alignment horizontal="center" vertical="center" wrapText="1"/>
    </xf>
    <xf numFmtId="0" fontId="35" fillId="0" borderId="0" xfId="0" applyFont="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wrapText="1"/>
    </xf>
    <xf numFmtId="0" fontId="51" fillId="0" borderId="0" xfId="7" applyFont="1" applyAlignment="1">
      <alignment horizontal="center"/>
    </xf>
    <xf numFmtId="0" fontId="52" fillId="0" borderId="0" xfId="7" applyFont="1" applyAlignment="1">
      <alignment horizontal="center" vertical="center"/>
    </xf>
    <xf numFmtId="0" fontId="51" fillId="0" borderId="70" xfId="7" applyFont="1" applyBorder="1" applyAlignment="1">
      <alignment horizontal="left" vertical="center"/>
    </xf>
    <xf numFmtId="0" fontId="51" fillId="0" borderId="71" xfId="7" applyFont="1" applyBorder="1" applyAlignment="1">
      <alignment horizontal="left" vertical="center"/>
    </xf>
    <xf numFmtId="0" fontId="51" fillId="0" borderId="72" xfId="7" applyFont="1" applyBorder="1" applyAlignment="1">
      <alignment horizontal="left" vertical="center"/>
    </xf>
    <xf numFmtId="0" fontId="33" fillId="0" borderId="70" xfId="7" applyFont="1" applyBorder="1" applyAlignment="1">
      <alignment horizontal="center" vertical="center" wrapText="1"/>
    </xf>
    <xf numFmtId="0" fontId="33" fillId="0" borderId="72" xfId="7" applyFont="1" applyBorder="1" applyAlignment="1">
      <alignment horizontal="center" vertical="center" wrapText="1"/>
    </xf>
    <xf numFmtId="0" fontId="33" fillId="0" borderId="70" xfId="7" applyFont="1" applyBorder="1" applyAlignment="1">
      <alignment horizontal="center" vertical="center"/>
    </xf>
    <xf numFmtId="0" fontId="33" fillId="0" borderId="72" xfId="7" applyFont="1" applyBorder="1" applyAlignment="1">
      <alignment horizontal="center" vertical="center"/>
    </xf>
    <xf numFmtId="0" fontId="33" fillId="0" borderId="71" xfId="7" applyFont="1" applyBorder="1" applyAlignment="1">
      <alignment horizontal="center" vertical="center" wrapText="1"/>
    </xf>
    <xf numFmtId="0" fontId="33" fillId="0" borderId="78" xfId="7" applyFont="1" applyBorder="1" applyAlignment="1">
      <alignment horizontal="center" vertical="center"/>
    </xf>
    <xf numFmtId="0" fontId="33" fillId="0" borderId="80" xfId="7" applyFont="1" applyBorder="1" applyAlignment="1">
      <alignment horizontal="center" vertical="center"/>
    </xf>
    <xf numFmtId="0" fontId="33" fillId="0" borderId="79" xfId="7" applyFont="1" applyBorder="1" applyAlignment="1">
      <alignment horizontal="center" vertical="center"/>
    </xf>
    <xf numFmtId="0" fontId="34" fillId="0" borderId="78" xfId="7" applyFont="1" applyBorder="1" applyAlignment="1">
      <alignment horizontal="center" vertical="center"/>
    </xf>
    <xf numFmtId="0" fontId="34" fillId="0" borderId="79" xfId="7" applyFont="1" applyBorder="1" applyAlignment="1">
      <alignment horizontal="center" vertical="center"/>
    </xf>
    <xf numFmtId="0" fontId="34" fillId="0" borderId="80" xfId="7" applyFont="1" applyBorder="1" applyAlignment="1">
      <alignment horizontal="center" vertical="center"/>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0" fontId="34" fillId="0" borderId="73" xfId="7" applyFont="1" applyBorder="1" applyAlignment="1">
      <alignment horizontal="center" vertical="center"/>
    </xf>
    <xf numFmtId="0" fontId="34" fillId="0" borderId="74" xfId="7" applyFont="1" applyBorder="1" applyAlignment="1">
      <alignment horizontal="center" vertical="center"/>
    </xf>
    <xf numFmtId="0" fontId="34" fillId="0" borderId="148" xfId="7" applyFont="1" applyBorder="1" applyAlignment="1">
      <alignment horizontal="center" vertical="center"/>
    </xf>
    <xf numFmtId="0" fontId="33" fillId="0" borderId="73" xfId="7" applyFont="1" applyBorder="1" applyAlignment="1">
      <alignment horizontal="center" vertical="center"/>
    </xf>
    <xf numFmtId="0" fontId="33" fillId="0" borderId="74" xfId="7" applyFont="1"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33" fillId="0" borderId="75" xfId="7" applyFont="1" applyBorder="1" applyAlignment="1">
      <alignment horizontal="center" vertical="center"/>
    </xf>
    <xf numFmtId="0" fontId="33" fillId="0" borderId="76" xfId="7" applyFont="1" applyBorder="1" applyAlignment="1">
      <alignment horizontal="center" vertical="center"/>
    </xf>
    <xf numFmtId="0" fontId="33" fillId="0" borderId="77" xfId="7" applyFont="1" applyBorder="1" applyAlignment="1">
      <alignment horizontal="center" vertical="center"/>
    </xf>
    <xf numFmtId="0" fontId="34" fillId="0" borderId="75" xfId="7" applyFont="1" applyBorder="1" applyAlignment="1">
      <alignment horizontal="center" vertical="center"/>
    </xf>
    <xf numFmtId="0" fontId="34" fillId="0" borderId="77" xfId="7" applyFont="1" applyBorder="1" applyAlignment="1">
      <alignment horizontal="center" vertical="center"/>
    </xf>
    <xf numFmtId="0" fontId="34" fillId="0" borderId="76" xfId="7" applyFont="1" applyBorder="1" applyAlignment="1">
      <alignment horizontal="center" vertical="center"/>
    </xf>
    <xf numFmtId="0" fontId="4" fillId="0" borderId="98" xfId="0" applyFont="1" applyBorder="1" applyAlignment="1">
      <alignment horizontal="center" vertical="center" wrapText="1"/>
    </xf>
    <xf numFmtId="0" fontId="4" fillId="0" borderId="99" xfId="0" applyFont="1" applyBorder="1" applyAlignment="1">
      <alignment horizontal="center" vertical="center" wrapText="1"/>
    </xf>
    <xf numFmtId="0" fontId="34" fillId="0" borderId="70" xfId="7" applyFont="1" applyBorder="1" applyAlignment="1">
      <alignment horizontal="center" vertical="center" wrapText="1"/>
    </xf>
    <xf numFmtId="0" fontId="34" fillId="0" borderId="72" xfId="7" applyFont="1" applyBorder="1" applyAlignment="1">
      <alignment horizontal="center" vertical="center" wrapText="1"/>
    </xf>
    <xf numFmtId="0" fontId="51" fillId="0" borderId="70" xfId="7" applyFont="1" applyBorder="1" applyAlignment="1">
      <alignment horizontal="left" vertical="center" wrapText="1"/>
    </xf>
    <xf numFmtId="0" fontId="51" fillId="0" borderId="71" xfId="7" applyFont="1" applyBorder="1" applyAlignment="1">
      <alignment horizontal="left" vertical="center" wrapText="1"/>
    </xf>
    <xf numFmtId="0" fontId="51" fillId="0" borderId="72" xfId="7" applyFont="1" applyBorder="1" applyAlignment="1">
      <alignment horizontal="left" vertical="center" wrapText="1"/>
    </xf>
    <xf numFmtId="0" fontId="33" fillId="0" borderId="66" xfId="7" applyFont="1" applyBorder="1" applyAlignment="1">
      <alignment horizontal="center" vertical="center" wrapText="1"/>
    </xf>
    <xf numFmtId="0" fontId="33" fillId="0" borderId="17" xfId="7" applyFont="1" applyBorder="1" applyAlignment="1">
      <alignment horizontal="center" vertical="center" wrapText="1"/>
    </xf>
    <xf numFmtId="0" fontId="33" fillId="0" borderId="81" xfId="7" applyFont="1" applyBorder="1" applyAlignment="1">
      <alignment horizontal="center" vertical="center" wrapText="1"/>
    </xf>
    <xf numFmtId="0" fontId="33" fillId="0" borderId="82" xfId="7" applyFont="1" applyBorder="1" applyAlignment="1">
      <alignment horizontal="center" vertical="center" wrapText="1"/>
    </xf>
    <xf numFmtId="0" fontId="33" fillId="0" borderId="83" xfId="7" applyFont="1" applyBorder="1" applyAlignment="1">
      <alignment horizontal="center" vertical="center" wrapText="1"/>
    </xf>
    <xf numFmtId="0" fontId="33" fillId="0" borderId="84" xfId="7" applyFont="1" applyBorder="1" applyAlignment="1">
      <alignment horizontal="center" vertical="center" wrapText="1"/>
    </xf>
    <xf numFmtId="0" fontId="33" fillId="0" borderId="146" xfId="7" applyFont="1" applyBorder="1" applyAlignment="1">
      <alignment horizontal="center" vertical="center" wrapText="1"/>
    </xf>
    <xf numFmtId="0" fontId="33" fillId="0" borderId="147" xfId="7" applyFont="1" applyBorder="1" applyAlignment="1">
      <alignment horizontal="center" vertical="center" wrapText="1"/>
    </xf>
    <xf numFmtId="0" fontId="34" fillId="0" borderId="70" xfId="7" applyFont="1" applyFill="1" applyBorder="1" applyAlignment="1">
      <alignment horizontal="center" vertical="center" wrapText="1"/>
    </xf>
    <xf numFmtId="0" fontId="34" fillId="0" borderId="72" xfId="7" applyFont="1" applyFill="1" applyBorder="1" applyAlignment="1">
      <alignment horizontal="center" vertical="center" wrapText="1"/>
    </xf>
    <xf numFmtId="0" fontId="34" fillId="0" borderId="70" xfId="7" applyFont="1" applyFill="1" applyBorder="1" applyAlignment="1">
      <alignment horizontal="left" vertical="center" wrapText="1"/>
    </xf>
    <xf numFmtId="0" fontId="34" fillId="0" borderId="72" xfId="7" applyFont="1" applyFill="1" applyBorder="1" applyAlignment="1">
      <alignment horizontal="left" vertical="center" wrapText="1"/>
    </xf>
    <xf numFmtId="0" fontId="35" fillId="0" borderId="66" xfId="7" applyFont="1" applyBorder="1" applyAlignment="1">
      <alignment horizontal="center" vertical="center" wrapText="1"/>
    </xf>
    <xf numFmtId="0" fontId="35" fillId="0" borderId="17" xfId="7" applyFont="1" applyBorder="1" applyAlignment="1">
      <alignment horizontal="center" vertical="center" wrapText="1"/>
    </xf>
    <xf numFmtId="0" fontId="33" fillId="0" borderId="78" xfId="7" applyFont="1" applyBorder="1" applyAlignment="1">
      <alignment horizontal="center" vertical="center" wrapText="1"/>
    </xf>
    <xf numFmtId="0" fontId="33" fillId="0" borderId="79" xfId="7" applyFont="1" applyBorder="1" applyAlignment="1">
      <alignment horizontal="center" vertical="center" wrapText="1"/>
    </xf>
    <xf numFmtId="0" fontId="33" fillId="0" borderId="80" xfId="7" applyFont="1" applyBorder="1" applyAlignment="1">
      <alignment horizontal="center" vertical="center" wrapText="1"/>
    </xf>
    <xf numFmtId="0" fontId="42" fillId="0" borderId="0" xfId="7" applyFont="1" applyAlignment="1">
      <alignment horizontal="center"/>
    </xf>
    <xf numFmtId="0" fontId="9" fillId="0" borderId="0" xfId="7" applyFont="1" applyAlignment="1">
      <alignment horizontal="center"/>
    </xf>
    <xf numFmtId="0" fontId="34" fillId="0" borderId="70" xfId="7" applyFont="1" applyBorder="1" applyAlignment="1">
      <alignment horizontal="left" vertical="center" wrapText="1"/>
    </xf>
    <xf numFmtId="0" fontId="34" fillId="0" borderId="72" xfId="7" applyFont="1" applyBorder="1" applyAlignment="1">
      <alignment horizontal="left" vertical="center" wrapText="1"/>
    </xf>
    <xf numFmtId="0" fontId="34" fillId="0" borderId="73" xfId="7" applyFont="1" applyFill="1" applyBorder="1" applyAlignment="1">
      <alignment horizontal="center" vertical="center" wrapText="1"/>
    </xf>
    <xf numFmtId="0" fontId="34" fillId="0" borderId="74" xfId="7" applyFont="1" applyFill="1" applyBorder="1" applyAlignment="1">
      <alignment horizontal="center" vertical="center" wrapText="1"/>
    </xf>
    <xf numFmtId="0" fontId="34" fillId="0" borderId="81" xfId="7" applyFont="1" applyFill="1" applyBorder="1" applyAlignment="1">
      <alignment horizontal="left" vertical="center" wrapText="1"/>
    </xf>
    <xf numFmtId="0" fontId="34" fillId="0" borderId="82" xfId="7" applyFont="1" applyFill="1" applyBorder="1" applyAlignment="1">
      <alignment horizontal="left" vertical="center" wrapText="1"/>
    </xf>
    <xf numFmtId="0" fontId="33" fillId="0" borderId="100" xfId="7" applyFont="1" applyBorder="1" applyAlignment="1">
      <alignment horizontal="center" vertical="center" wrapText="1"/>
    </xf>
    <xf numFmtId="0" fontId="33" fillId="0" borderId="101" xfId="7" applyFont="1" applyBorder="1" applyAlignment="1">
      <alignment horizontal="center" vertical="center" wrapText="1"/>
    </xf>
    <xf numFmtId="0" fontId="33" fillId="0" borderId="65" xfId="7" applyFont="1" applyBorder="1" applyAlignment="1">
      <alignment horizontal="center" vertical="center" wrapText="1"/>
    </xf>
    <xf numFmtId="0" fontId="34" fillId="0" borderId="0" xfId="0" applyFont="1" applyAlignment="1">
      <alignment horizontal="center" vertical="center"/>
    </xf>
    <xf numFmtId="0" fontId="36" fillId="0" borderId="0" xfId="0" applyFont="1" applyAlignment="1">
      <alignment horizontal="right" vertical="center"/>
    </xf>
    <xf numFmtId="0" fontId="20" fillId="0" borderId="0" xfId="10" applyFont="1" applyAlignment="1">
      <alignment horizontal="center"/>
    </xf>
    <xf numFmtId="0" fontId="34" fillId="0" borderId="0" xfId="10" applyFont="1" applyAlignment="1">
      <alignment horizontal="center" vertical="center"/>
    </xf>
    <xf numFmtId="0" fontId="33" fillId="0" borderId="0" xfId="10" applyFont="1" applyAlignment="1">
      <alignment horizontal="center" vertical="center" wrapText="1"/>
    </xf>
    <xf numFmtId="0" fontId="9" fillId="0" borderId="0" xfId="0" applyFont="1" applyAlignment="1">
      <alignment horizontal="center" vertical="center"/>
    </xf>
    <xf numFmtId="0" fontId="44" fillId="0" borderId="0" xfId="10" applyFont="1" applyAlignment="1">
      <alignment horizontal="center" wrapText="1"/>
    </xf>
    <xf numFmtId="0" fontId="20" fillId="0" borderId="0" xfId="10" applyFont="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center" vertical="center"/>
    </xf>
    <xf numFmtId="0" fontId="20" fillId="0" borderId="0" xfId="0" applyFont="1" applyAlignment="1">
      <alignment horizontal="center" vertical="center" wrapText="1"/>
    </xf>
    <xf numFmtId="0" fontId="38" fillId="0" borderId="0" xfId="0" applyFont="1" applyAlignment="1">
      <alignment horizontal="right" vertical="center" wrapText="1"/>
    </xf>
    <xf numFmtId="0" fontId="38" fillId="0" borderId="85" xfId="0" applyFont="1" applyBorder="1" applyAlignment="1">
      <alignment horizontal="center" vertical="center"/>
    </xf>
    <xf numFmtId="0" fontId="33" fillId="0" borderId="0" xfId="0" applyFont="1" applyAlignment="1">
      <alignment horizontal="center" vertical="center"/>
    </xf>
    <xf numFmtId="0" fontId="20" fillId="0" borderId="66" xfId="0" applyFont="1" applyBorder="1" applyAlignment="1">
      <alignment horizontal="center" vertical="center"/>
    </xf>
    <xf numFmtId="0" fontId="20" fillId="0" borderId="18" xfId="0" applyFont="1" applyBorder="1" applyAlignment="1">
      <alignment horizontal="center" vertical="center"/>
    </xf>
    <xf numFmtId="0" fontId="20" fillId="0" borderId="17" xfId="0" applyFont="1" applyBorder="1" applyAlignment="1">
      <alignment horizontal="center" vertical="center"/>
    </xf>
    <xf numFmtId="0" fontId="14" fillId="0" borderId="21" xfId="0" applyFont="1" applyFill="1" applyBorder="1" applyAlignment="1">
      <alignment horizontal="center" vertical="center" wrapText="1"/>
    </xf>
    <xf numFmtId="0" fontId="20" fillId="10" borderId="14" xfId="0" applyFont="1" applyFill="1" applyBorder="1" applyAlignment="1">
      <alignment horizontal="center" vertical="center" wrapText="1"/>
    </xf>
    <xf numFmtId="0" fontId="20" fillId="10" borderId="18" xfId="0" applyFont="1" applyFill="1" applyBorder="1" applyAlignment="1">
      <alignment horizontal="center" vertical="center" wrapText="1"/>
    </xf>
    <xf numFmtId="0" fontId="20" fillId="10" borderId="17" xfId="0" applyFont="1" applyFill="1" applyBorder="1" applyAlignment="1">
      <alignment horizontal="center" vertical="center" wrapText="1"/>
    </xf>
    <xf numFmtId="0" fontId="20" fillId="0" borderId="15" xfId="0" applyFont="1" applyBorder="1" applyAlignment="1">
      <alignment horizontal="center" vertical="center"/>
    </xf>
    <xf numFmtId="0" fontId="20" fillId="0" borderId="43" xfId="0" applyFont="1" applyBorder="1" applyAlignment="1">
      <alignment horizontal="center" vertical="center"/>
    </xf>
    <xf numFmtId="0" fontId="20" fillId="0" borderId="19" xfId="0" applyFont="1" applyBorder="1" applyAlignment="1">
      <alignment horizontal="center" vertical="center"/>
    </xf>
    <xf numFmtId="0" fontId="20" fillId="0" borderId="66"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3" fillId="0" borderId="70" xfId="0" applyFont="1" applyFill="1" applyBorder="1" applyAlignment="1">
      <alignment horizontal="center" vertical="center" wrapText="1"/>
    </xf>
    <xf numFmtId="0" fontId="53" fillId="0" borderId="71" xfId="0" applyFont="1" applyFill="1" applyBorder="1" applyAlignment="1">
      <alignment horizontal="center" vertical="center" wrapText="1"/>
    </xf>
    <xf numFmtId="0" fontId="53" fillId="0" borderId="72" xfId="0" applyFont="1" applyFill="1" applyBorder="1" applyAlignment="1">
      <alignment horizontal="center" vertical="center" wrapText="1"/>
    </xf>
    <xf numFmtId="0" fontId="20" fillId="6" borderId="70" xfId="0" applyFont="1" applyFill="1" applyBorder="1" applyAlignment="1">
      <alignment horizontal="center" vertical="center" wrapText="1"/>
    </xf>
    <xf numFmtId="0" fontId="20" fillId="6" borderId="71" xfId="0" applyFont="1" applyFill="1" applyBorder="1" applyAlignment="1">
      <alignment horizontal="center" vertical="center" wrapText="1"/>
    </xf>
    <xf numFmtId="0" fontId="20" fillId="6" borderId="72" xfId="0" applyFont="1" applyFill="1" applyBorder="1" applyAlignment="1">
      <alignment horizontal="center" vertical="center" wrapText="1"/>
    </xf>
    <xf numFmtId="0" fontId="20" fillId="6" borderId="66"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0" borderId="0" xfId="0" applyFont="1" applyFill="1" applyAlignment="1">
      <alignment horizontal="center" vertical="center"/>
    </xf>
    <xf numFmtId="0" fontId="48" fillId="0" borderId="0" xfId="0" applyFont="1" applyFill="1" applyAlignment="1">
      <alignment horizontal="center" vertical="center"/>
    </xf>
    <xf numFmtId="0" fontId="20" fillId="0" borderId="21" xfId="0" applyFont="1" applyFill="1" applyBorder="1" applyAlignment="1">
      <alignment horizontal="center" vertical="center"/>
    </xf>
    <xf numFmtId="0" fontId="38" fillId="0" borderId="0" xfId="0" applyFont="1" applyFill="1" applyAlignment="1">
      <alignment horizontal="right" vertical="center" wrapText="1"/>
    </xf>
    <xf numFmtId="0" fontId="14" fillId="0" borderId="0" xfId="0" applyFont="1" applyFill="1" applyAlignment="1">
      <alignment horizontal="left" vertical="center" wrapText="1"/>
    </xf>
    <xf numFmtId="0" fontId="10" fillId="0" borderId="0" xfId="0" applyFont="1" applyFill="1" applyAlignment="1">
      <alignment horizontal="left" vertical="center" wrapText="1"/>
    </xf>
    <xf numFmtId="0" fontId="20" fillId="8" borderId="21" xfId="0" applyFont="1" applyFill="1" applyBorder="1" applyAlignment="1">
      <alignment horizontal="center" vertical="center" wrapText="1"/>
    </xf>
    <xf numFmtId="0" fontId="20" fillId="9" borderId="21" xfId="0" applyFont="1" applyFill="1" applyBorder="1" applyAlignment="1">
      <alignment horizontal="center" vertical="center" wrapText="1"/>
    </xf>
    <xf numFmtId="0" fontId="20" fillId="7" borderId="70" xfId="0" applyFont="1" applyFill="1" applyBorder="1" applyAlignment="1">
      <alignment horizontal="center" vertical="center" wrapText="1"/>
    </xf>
    <xf numFmtId="0" fontId="20" fillId="7" borderId="71" xfId="0" applyFont="1" applyFill="1" applyBorder="1" applyAlignment="1">
      <alignment horizontal="center" vertical="center" wrapText="1"/>
    </xf>
    <xf numFmtId="0" fontId="20" fillId="7" borderId="72" xfId="0" applyFont="1" applyFill="1" applyBorder="1" applyAlignment="1">
      <alignment horizontal="center" vertical="center" wrapText="1"/>
    </xf>
    <xf numFmtId="0" fontId="10" fillId="0" borderId="0" xfId="0" applyFont="1" applyAlignment="1">
      <alignment horizontal="left" vertical="center" wrapText="1"/>
    </xf>
    <xf numFmtId="0" fontId="53" fillId="0" borderId="0" xfId="0" applyFont="1" applyAlignment="1">
      <alignment horizontal="center" vertical="center"/>
    </xf>
    <xf numFmtId="0" fontId="45" fillId="0" borderId="0" xfId="0" applyFont="1" applyAlignment="1">
      <alignment horizontal="left" vertical="top" wrapText="1"/>
    </xf>
    <xf numFmtId="0" fontId="33" fillId="0" borderId="0" xfId="0" applyFont="1" applyAlignment="1">
      <alignment horizontal="right" vertical="center"/>
    </xf>
    <xf numFmtId="0" fontId="44" fillId="0" borderId="48" xfId="0" applyFont="1" applyBorder="1" applyAlignment="1">
      <alignment horizontal="right" vertical="center"/>
    </xf>
    <xf numFmtId="0" fontId="9" fillId="0" borderId="0" xfId="0" applyFont="1" applyAlignment="1">
      <alignment horizontal="center"/>
    </xf>
    <xf numFmtId="1" fontId="9" fillId="0" borderId="0" xfId="0" applyNumberFormat="1" applyFont="1" applyAlignment="1">
      <alignment horizontal="center"/>
    </xf>
    <xf numFmtId="0" fontId="9" fillId="0" borderId="0" xfId="0" applyFont="1" applyAlignment="1">
      <alignment horizontal="center" wrapText="1"/>
    </xf>
    <xf numFmtId="0" fontId="33" fillId="0" borderId="0" xfId="0" applyFont="1" applyAlignment="1">
      <alignment vertical="center"/>
    </xf>
    <xf numFmtId="0" fontId="44" fillId="0" borderId="0" xfId="0" applyFont="1" applyAlignment="1">
      <alignment horizontal="right" vertical="center"/>
    </xf>
    <xf numFmtId="0" fontId="44" fillId="0" borderId="0" xfId="0" applyFont="1" applyAlignment="1">
      <alignment horizontal="right" wrapText="1"/>
    </xf>
    <xf numFmtId="0" fontId="34" fillId="0" borderId="0" xfId="6" applyFont="1" applyAlignment="1">
      <alignment horizontal="center" wrapText="1"/>
    </xf>
    <xf numFmtId="0" fontId="33" fillId="0" borderId="0" xfId="6" applyFont="1" applyAlignment="1">
      <alignment horizontal="center" wrapText="1"/>
    </xf>
    <xf numFmtId="0" fontId="33" fillId="0" borderId="65" xfId="6" applyFont="1" applyBorder="1" applyAlignment="1">
      <alignment horizontal="center" vertical="center" wrapText="1"/>
    </xf>
    <xf numFmtId="0" fontId="14" fillId="0" borderId="68" xfId="0" applyFont="1" applyBorder="1" applyAlignment="1">
      <alignment horizontal="left" vertical="center" wrapText="1"/>
    </xf>
    <xf numFmtId="41" fontId="14" fillId="0" borderId="68" xfId="8" applyFont="1" applyFill="1" applyBorder="1" applyAlignment="1">
      <alignment horizontal="left" vertical="center" wrapText="1"/>
    </xf>
    <xf numFmtId="0" fontId="34" fillId="0" borderId="68" xfId="0" applyFont="1" applyBorder="1" applyAlignment="1">
      <alignment horizontal="left" vertical="center" wrapText="1"/>
    </xf>
    <xf numFmtId="0" fontId="14" fillId="0" borderId="68" xfId="0" applyFont="1" applyBorder="1" applyAlignment="1">
      <alignment horizontal="center" vertical="center" wrapText="1"/>
    </xf>
    <xf numFmtId="17" fontId="14" fillId="0" borderId="68" xfId="0" quotePrefix="1" applyNumberFormat="1" applyFont="1" applyBorder="1" applyAlignment="1">
      <alignment horizontal="center" vertical="center" wrapText="1"/>
    </xf>
    <xf numFmtId="0" fontId="80" fillId="0" borderId="0" xfId="0" applyFont="1"/>
    <xf numFmtId="0" fontId="80" fillId="0" borderId="0" xfId="0" applyFont="1" applyAlignment="1">
      <alignment horizontal="left"/>
    </xf>
    <xf numFmtId="0" fontId="80" fillId="0" borderId="0" xfId="0" applyFont="1" applyAlignment="1">
      <alignment horizontal="left" wrapText="1"/>
    </xf>
    <xf numFmtId="0" fontId="80" fillId="0" borderId="0" xfId="0" applyFont="1" applyAlignment="1">
      <alignment wrapText="1"/>
    </xf>
    <xf numFmtId="0" fontId="81" fillId="0" borderId="0" xfId="0" applyFont="1" applyAlignment="1">
      <alignment wrapText="1"/>
    </xf>
  </cellXfs>
  <cellStyles count="11">
    <cellStyle name="Comma" xfId="1" builtinId="3"/>
    <cellStyle name="Comma [0]" xfId="8" builtinId="6"/>
    <cellStyle name="Comma 2" xfId="2"/>
    <cellStyle name="Currency" xfId="9" builtinId="4"/>
    <cellStyle name="Normal" xfId="0" builtinId="0"/>
    <cellStyle name="Normal 2" xfId="7"/>
    <cellStyle name="Normal 2 2" xfId="6"/>
    <cellStyle name="Normal 3" xfId="10"/>
    <cellStyle name="Normal 5" xfId="3"/>
    <cellStyle name="Normal 6" xfId="4"/>
    <cellStyle name="Normal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2</xdr:col>
      <xdr:colOff>2881</xdr:colOff>
      <xdr:row>4</xdr:row>
      <xdr:rowOff>29935</xdr:rowOff>
    </xdr:from>
    <xdr:to>
      <xdr:col>3</xdr:col>
      <xdr:colOff>499144</xdr:colOff>
      <xdr:row>4</xdr:row>
      <xdr:rowOff>29935</xdr:rowOff>
    </xdr:to>
    <xdr:sp macro="" textlink="">
      <xdr:nvSpPr>
        <xdr:cNvPr id="2" name="Line 3">
          <a:extLst>
            <a:ext uri="{FF2B5EF4-FFF2-40B4-BE49-F238E27FC236}">
              <a16:creationId xmlns="" xmlns:a16="http://schemas.microsoft.com/office/drawing/2014/main" id="{EFEB8A8F-868A-42FE-BBAD-FFCD33359889}"/>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3" name="Line 4">
          <a:extLst>
            <a:ext uri="{FF2B5EF4-FFF2-40B4-BE49-F238E27FC236}">
              <a16:creationId xmlns="" xmlns:a16="http://schemas.microsoft.com/office/drawing/2014/main" id="{2F612447-268A-4771-A6D6-80B0D9F58BB3}"/>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2881</xdr:colOff>
      <xdr:row>4</xdr:row>
      <xdr:rowOff>29935</xdr:rowOff>
    </xdr:from>
    <xdr:to>
      <xdr:col>3</xdr:col>
      <xdr:colOff>499144</xdr:colOff>
      <xdr:row>4</xdr:row>
      <xdr:rowOff>29935</xdr:rowOff>
    </xdr:to>
    <xdr:sp macro="" textlink="">
      <xdr:nvSpPr>
        <xdr:cNvPr id="4" name="Line 3">
          <a:extLst>
            <a:ext uri="{FF2B5EF4-FFF2-40B4-BE49-F238E27FC236}">
              <a16:creationId xmlns="" xmlns:a16="http://schemas.microsoft.com/office/drawing/2014/main" id="{FBB24D79-1145-E54D-AF63-043B2BE6DB9B}"/>
            </a:ext>
          </a:extLst>
        </xdr:cNvPr>
        <xdr:cNvSpPr>
          <a:spLocks noChangeShapeType="1"/>
        </xdr:cNvSpPr>
      </xdr:nvSpPr>
      <xdr:spPr bwMode="auto">
        <a:xfrm>
          <a:off x="1628481" y="842735"/>
          <a:ext cx="122016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5" name="Line 4">
          <a:extLst>
            <a:ext uri="{FF2B5EF4-FFF2-40B4-BE49-F238E27FC236}">
              <a16:creationId xmlns="" xmlns:a16="http://schemas.microsoft.com/office/drawing/2014/main" id="{3F152CD7-F612-D14A-9FC6-A8E53F310F52}"/>
            </a:ext>
          </a:extLst>
        </xdr:cNvPr>
        <xdr:cNvSpPr>
          <a:spLocks noChangeShapeType="1"/>
        </xdr:cNvSpPr>
      </xdr:nvSpPr>
      <xdr:spPr bwMode="auto">
        <a:xfrm flipV="1">
          <a:off x="6461761" y="839774"/>
          <a:ext cx="2351052"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2</xdr:row>
      <xdr:rowOff>28575</xdr:rowOff>
    </xdr:from>
    <xdr:to>
      <xdr:col>1</xdr:col>
      <xdr:colOff>1543050</xdr:colOff>
      <xdr:row>2</xdr:row>
      <xdr:rowOff>38100</xdr:rowOff>
    </xdr:to>
    <xdr:cxnSp macro="">
      <xdr:nvCxnSpPr>
        <xdr:cNvPr id="3" name="Straight Connector 2">
          <a:extLst>
            <a:ext uri="{FF2B5EF4-FFF2-40B4-BE49-F238E27FC236}">
              <a16:creationId xmlns="" xmlns:a16="http://schemas.microsoft.com/office/drawing/2014/main" id="{F73FB2DE-8B5A-F846-AD2A-274B311743DD}"/>
            </a:ext>
          </a:extLst>
        </xdr:cNvPr>
        <xdr:cNvCxnSpPr/>
      </xdr:nvCxnSpPr>
      <xdr:spPr>
        <a:xfrm flipV="1">
          <a:off x="619125" y="628650"/>
          <a:ext cx="13144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crosoft%20Windows/Downloads/2.%20Bieu%20xay%20dung%20ke%20hoach%20nam%20t&#224;i%20ch&#237;nh%202022%20-%20x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 kien"/>
      <sheetName val="Bieu1"/>
      <sheetName val="Bieu 1a - Quy mo CQ"/>
      <sheetName val="Bieu 1b - Quy mo SĐH"/>
      <sheetName val="Bieu 1c - Quy mo VLVH - TX"/>
      <sheetName val="Bieu 1d-THPT Chuyen"/>
      <sheetName val="Bieu 1e - THSP"/>
      <sheetName val="Bieu 2B -Gio day ĐH va tren DH"/>
      <sheetName val="Biểu 2B-Gio day duoi DH tu 1-6"/>
      <sheetName val="Biểu 2B-Gio day duoi DH tu 7-12"/>
      <sheetName val="Bieu3-Tong gio theo don vi"/>
      <sheetName val="Bieu4-Thuc hanh thi nghiem"/>
      <sheetName val="Bieu5-Nhu cau mua sam"/>
      <sheetName val="Bieu6-Dao tao Boi duong"/>
      <sheetName val="Bieu 7 NCKH"/>
      <sheetName val="Bieu 7b-xuat ban"/>
      <sheetName val="Bieu 8-BD ngan han"/>
      <sheetName val="Bieu 9-Tong hop thu"/>
      <sheetName val="Bieu 9 - Moi"/>
      <sheetName val="Bieu 10-Tong hop chi"/>
      <sheetName val="Bieu11-CL Thu-Chi"/>
      <sheetName val="Bieu 12-So lieu c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6">
          <cell r="K76">
            <v>0</v>
          </cell>
          <cell r="N76">
            <v>0</v>
          </cell>
        </row>
      </sheetData>
      <sheetData sheetId="8" refreshError="1"/>
      <sheetData sheetId="9" refreshError="1"/>
      <sheetData sheetId="10" refreshError="1"/>
      <sheetData sheetId="11" refreshError="1"/>
      <sheetData sheetId="12" refreshError="1"/>
      <sheetData sheetId="13" refreshError="1"/>
      <sheetData sheetId="14" refreshError="1">
        <row r="27">
          <cell r="D27">
            <v>0</v>
          </cell>
        </row>
        <row r="28">
          <cell r="D28">
            <v>0</v>
          </cell>
        </row>
      </sheetData>
      <sheetData sheetId="15" refreshError="1"/>
      <sheetData sheetId="16" refreshError="1"/>
      <sheetData sheetId="17" refreshError="1">
        <row r="8">
          <cell r="E8">
            <v>0</v>
          </cell>
        </row>
        <row r="60">
          <cell r="E60">
            <v>0</v>
          </cell>
        </row>
        <row r="61">
          <cell r="E61">
            <v>0</v>
          </cell>
        </row>
      </sheetData>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E27"/>
  <sheetViews>
    <sheetView topLeftCell="A7" zoomScale="107" zoomScaleNormal="86" workbookViewId="0">
      <selection activeCell="C10" sqref="C10"/>
    </sheetView>
  </sheetViews>
  <sheetFormatPr defaultColWidth="9" defaultRowHeight="45" customHeight="1"/>
  <cols>
    <col min="1" max="1" width="9" style="70"/>
    <col min="2" max="2" width="31.33203125" style="70" customWidth="1"/>
    <col min="3" max="3" width="53.4140625" style="71" customWidth="1"/>
    <col min="4" max="4" width="77.4140625" style="71" customWidth="1"/>
    <col min="5" max="16384" width="9" style="70"/>
  </cols>
  <sheetData>
    <row r="1" spans="1:5" ht="20.149999999999999" customHeight="1">
      <c r="B1" s="672" t="s">
        <v>251</v>
      </c>
    </row>
    <row r="2" spans="1:5" ht="20.149999999999999" customHeight="1">
      <c r="B2" s="672" t="s">
        <v>252</v>
      </c>
    </row>
    <row r="3" spans="1:5" ht="20.149999999999999" customHeight="1"/>
    <row r="4" spans="1:5" ht="45" customHeight="1" thickBot="1">
      <c r="A4" s="1295" t="s">
        <v>253</v>
      </c>
      <c r="B4" s="1295"/>
      <c r="C4" s="1295"/>
      <c r="D4" s="1295"/>
      <c r="E4" s="1295"/>
    </row>
    <row r="5" spans="1:5" s="118" customFormat="1" ht="45" customHeight="1">
      <c r="A5" s="1077" t="s">
        <v>307</v>
      </c>
      <c r="B5" s="1078" t="s">
        <v>248</v>
      </c>
      <c r="C5" s="1079" t="s">
        <v>249</v>
      </c>
      <c r="D5" s="1079" t="s">
        <v>250</v>
      </c>
      <c r="E5" s="1080" t="s">
        <v>16</v>
      </c>
    </row>
    <row r="6" spans="1:5" s="109" customFormat="1" ht="45" customHeight="1">
      <c r="A6" s="1081">
        <v>1</v>
      </c>
      <c r="B6" s="1082" t="s">
        <v>224</v>
      </c>
      <c r="C6" s="1083" t="s">
        <v>3</v>
      </c>
      <c r="D6" s="1083" t="s">
        <v>229</v>
      </c>
      <c r="E6" s="1084"/>
    </row>
    <row r="7" spans="1:5" s="109" customFormat="1" ht="45" customHeight="1">
      <c r="A7" s="1081">
        <v>1</v>
      </c>
      <c r="B7" s="1082" t="s">
        <v>225</v>
      </c>
      <c r="C7" s="1083" t="s">
        <v>44</v>
      </c>
      <c r="D7" s="1083" t="s">
        <v>226</v>
      </c>
      <c r="E7" s="1084"/>
    </row>
    <row r="8" spans="1:5" s="109" customFormat="1" ht="45" customHeight="1">
      <c r="A8" s="1081">
        <v>1</v>
      </c>
      <c r="B8" s="1082" t="s">
        <v>227</v>
      </c>
      <c r="C8" s="1083" t="s">
        <v>66</v>
      </c>
      <c r="D8" s="1083" t="s">
        <v>228</v>
      </c>
      <c r="E8" s="1084"/>
    </row>
    <row r="9" spans="1:5" s="109" customFormat="1" ht="45" customHeight="1">
      <c r="A9" s="1081">
        <v>1</v>
      </c>
      <c r="B9" s="1082" t="s">
        <v>230</v>
      </c>
      <c r="C9" s="1083" t="s">
        <v>467</v>
      </c>
      <c r="D9" s="1083" t="s">
        <v>231</v>
      </c>
      <c r="E9" s="1084"/>
    </row>
    <row r="10" spans="1:5" s="109" customFormat="1" ht="45" customHeight="1">
      <c r="A10" s="1081">
        <v>1</v>
      </c>
      <c r="B10" s="1082" t="s">
        <v>232</v>
      </c>
      <c r="C10" s="1083" t="s">
        <v>468</v>
      </c>
      <c r="D10" s="1083" t="s">
        <v>233</v>
      </c>
      <c r="E10" s="1084"/>
    </row>
    <row r="11" spans="1:5" s="109" customFormat="1" ht="45" customHeight="1">
      <c r="A11" s="1081">
        <v>2</v>
      </c>
      <c r="B11" s="1082" t="s">
        <v>638</v>
      </c>
      <c r="C11" s="1083" t="s">
        <v>640</v>
      </c>
      <c r="D11" s="1083" t="s">
        <v>641</v>
      </c>
      <c r="E11" s="1084"/>
    </row>
    <row r="12" spans="1:5" s="109" customFormat="1" ht="45" customHeight="1">
      <c r="A12" s="1081">
        <v>2</v>
      </c>
      <c r="B12" s="1082" t="s">
        <v>639</v>
      </c>
      <c r="C12" s="1083" t="s">
        <v>640</v>
      </c>
      <c r="D12" s="1083" t="s">
        <v>642</v>
      </c>
      <c r="E12" s="1084"/>
    </row>
    <row r="13" spans="1:5" s="109" customFormat="1" ht="45" customHeight="1">
      <c r="A13" s="1081">
        <v>3</v>
      </c>
      <c r="B13" s="1082" t="s">
        <v>644</v>
      </c>
      <c r="C13" s="1083" t="s">
        <v>646</v>
      </c>
      <c r="D13" s="1083" t="s">
        <v>483</v>
      </c>
      <c r="E13" s="1084"/>
    </row>
    <row r="14" spans="1:5" s="109" customFormat="1" ht="45" customHeight="1">
      <c r="A14" s="1081">
        <v>3</v>
      </c>
      <c r="B14" s="1082" t="s">
        <v>645</v>
      </c>
      <c r="C14" s="1083" t="s">
        <v>647</v>
      </c>
      <c r="D14" s="1083" t="s">
        <v>648</v>
      </c>
      <c r="E14" s="1084"/>
    </row>
    <row r="15" spans="1:5" s="109" customFormat="1" ht="45" customHeight="1">
      <c r="A15" s="1081">
        <v>4</v>
      </c>
      <c r="B15" s="1082" t="s">
        <v>340</v>
      </c>
      <c r="C15" s="1083" t="s">
        <v>258</v>
      </c>
      <c r="D15" s="1083" t="s">
        <v>394</v>
      </c>
      <c r="E15" s="1084"/>
    </row>
    <row r="16" spans="1:5" s="109" customFormat="1" ht="45" customHeight="1">
      <c r="A16" s="1081">
        <v>5</v>
      </c>
      <c r="B16" s="1082" t="s">
        <v>341</v>
      </c>
      <c r="C16" s="1083" t="s">
        <v>481</v>
      </c>
      <c r="D16" s="1083" t="s">
        <v>482</v>
      </c>
      <c r="E16" s="1084"/>
    </row>
    <row r="17" spans="1:5" s="109" customFormat="1" ht="45" customHeight="1">
      <c r="A17" s="1081">
        <v>6</v>
      </c>
      <c r="B17" s="1082" t="s">
        <v>342</v>
      </c>
      <c r="C17" s="1083" t="s">
        <v>288</v>
      </c>
      <c r="D17" s="1083" t="s">
        <v>393</v>
      </c>
      <c r="E17" s="1084"/>
    </row>
    <row r="18" spans="1:5" s="109" customFormat="1" ht="45" customHeight="1">
      <c r="A18" s="1081">
        <v>7</v>
      </c>
      <c r="B18" s="1082" t="s">
        <v>334</v>
      </c>
      <c r="C18" s="1083" t="s">
        <v>291</v>
      </c>
      <c r="D18" s="1083" t="s">
        <v>484</v>
      </c>
      <c r="E18" s="1084"/>
    </row>
    <row r="19" spans="1:5" s="109" customFormat="1" ht="45" customHeight="1">
      <c r="A19" s="1081">
        <v>8</v>
      </c>
      <c r="B19" s="1082" t="s">
        <v>333</v>
      </c>
      <c r="C19" s="1083" t="s">
        <v>465</v>
      </c>
      <c r="D19" s="1083" t="s">
        <v>466</v>
      </c>
      <c r="E19" s="1084"/>
    </row>
    <row r="20" spans="1:5" s="109" customFormat="1" ht="107.15" customHeight="1">
      <c r="A20" s="1081">
        <v>9</v>
      </c>
      <c r="B20" s="1083" t="s">
        <v>679</v>
      </c>
      <c r="C20" s="1083" t="s">
        <v>317</v>
      </c>
      <c r="D20" s="1083" t="s">
        <v>708</v>
      </c>
      <c r="E20" s="1084"/>
    </row>
    <row r="21" spans="1:5" s="109" customFormat="1" ht="45" customHeight="1">
      <c r="A21" s="1081">
        <v>9</v>
      </c>
      <c r="B21" s="1083" t="s">
        <v>680</v>
      </c>
      <c r="C21" s="1083" t="s">
        <v>317</v>
      </c>
      <c r="D21" s="1083" t="s">
        <v>681</v>
      </c>
      <c r="E21" s="1084"/>
    </row>
    <row r="22" spans="1:5" s="109" customFormat="1" ht="45" customHeight="1">
      <c r="A22" s="1081">
        <v>9</v>
      </c>
      <c r="B22" s="1082" t="s">
        <v>594</v>
      </c>
      <c r="C22" s="1083" t="s">
        <v>317</v>
      </c>
      <c r="D22" s="1083" t="s">
        <v>595</v>
      </c>
      <c r="E22" s="1084"/>
    </row>
    <row r="23" spans="1:5" s="109" customFormat="1" ht="45" customHeight="1">
      <c r="A23" s="1085">
        <v>10</v>
      </c>
      <c r="B23" s="1086" t="s">
        <v>343</v>
      </c>
      <c r="C23" s="1083" t="s">
        <v>395</v>
      </c>
      <c r="D23" s="1083" t="s">
        <v>396</v>
      </c>
      <c r="E23" s="1084"/>
    </row>
    <row r="24" spans="1:5" s="109" customFormat="1" ht="45" customHeight="1">
      <c r="A24" s="1085">
        <v>11</v>
      </c>
      <c r="B24" s="1086" t="s">
        <v>344</v>
      </c>
      <c r="C24" s="1083" t="s">
        <v>473</v>
      </c>
      <c r="D24" s="1083" t="s">
        <v>482</v>
      </c>
      <c r="E24" s="1084"/>
    </row>
    <row r="25" spans="1:5" s="109" customFormat="1" ht="78" customHeight="1" thickBot="1">
      <c r="A25" s="1087">
        <v>12</v>
      </c>
      <c r="B25" s="1088" t="s">
        <v>345</v>
      </c>
      <c r="C25" s="1089" t="s">
        <v>391</v>
      </c>
      <c r="D25" s="1089" t="s">
        <v>392</v>
      </c>
      <c r="E25" s="1090"/>
    </row>
    <row r="27" spans="1:5" ht="45" customHeight="1">
      <c r="B27" s="70" t="s">
        <v>632</v>
      </c>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V147"/>
  <sheetViews>
    <sheetView topLeftCell="A8" workbookViewId="0">
      <selection activeCell="H12" sqref="H12"/>
    </sheetView>
  </sheetViews>
  <sheetFormatPr defaultColWidth="8.9140625" defaultRowHeight="14"/>
  <cols>
    <col min="1" max="1" width="4.9140625" style="1006" customWidth="1"/>
    <col min="2" max="2" width="34.33203125" style="1006" customWidth="1"/>
    <col min="3" max="3" width="6.08203125" style="1007" customWidth="1"/>
    <col min="4" max="4" width="7.58203125" style="1007" customWidth="1"/>
    <col min="5" max="5" width="5.6640625" style="1007" customWidth="1"/>
    <col min="6" max="6" width="5.58203125" style="1007" customWidth="1"/>
    <col min="7" max="7" width="6" style="1007" customWidth="1"/>
    <col min="8" max="8" width="8.4140625" style="1008" customWidth="1"/>
    <col min="9" max="9" width="8.08203125" style="1008" customWidth="1"/>
    <col min="10" max="10" width="6.9140625" style="1008" customWidth="1"/>
    <col min="11" max="11" width="5" style="1008" customWidth="1"/>
    <col min="12" max="12" width="4.33203125" style="1008" customWidth="1"/>
    <col min="13" max="13" width="7.58203125" style="1007" customWidth="1"/>
    <col min="14" max="15" width="6.6640625" style="1007" customWidth="1"/>
    <col min="16" max="16" width="7" style="1007" customWidth="1"/>
    <col min="17" max="17" width="6.08203125" style="1007" customWidth="1"/>
    <col min="18" max="18" width="6.58203125" style="970" customWidth="1"/>
    <col min="19" max="16384" width="8.9140625" style="970"/>
  </cols>
  <sheetData>
    <row r="1" spans="1:22" ht="14.25" customHeight="1">
      <c r="A1" s="1317" t="s">
        <v>0</v>
      </c>
      <c r="B1" s="1317"/>
      <c r="C1" s="1317"/>
      <c r="D1" s="673"/>
      <c r="E1" s="673"/>
      <c r="F1" s="673"/>
      <c r="G1" s="673"/>
      <c r="H1" s="685"/>
      <c r="I1" s="686"/>
      <c r="J1" s="1368"/>
      <c r="K1" s="1368"/>
      <c r="L1" s="1368"/>
      <c r="M1" s="1368"/>
      <c r="N1" s="1368"/>
      <c r="O1" s="1368"/>
      <c r="P1" s="41"/>
      <c r="Q1" s="1369" t="s">
        <v>123</v>
      </c>
      <c r="R1" s="1369"/>
      <c r="S1" s="2"/>
      <c r="T1" s="2"/>
      <c r="U1" s="2"/>
      <c r="V1" s="2"/>
    </row>
    <row r="2" spans="1:22">
      <c r="A2" s="1319" t="s">
        <v>1438</v>
      </c>
      <c r="B2" s="1319"/>
      <c r="C2" s="1319"/>
      <c r="D2" s="674"/>
      <c r="E2" s="674"/>
      <c r="F2" s="674"/>
      <c r="G2" s="674"/>
      <c r="H2" s="687"/>
      <c r="I2" s="686"/>
      <c r="J2" s="1368"/>
      <c r="K2" s="1368"/>
      <c r="L2" s="1368"/>
      <c r="M2" s="1368"/>
      <c r="N2" s="1368"/>
      <c r="O2" s="1368"/>
      <c r="P2" s="41"/>
      <c r="Q2" s="41"/>
      <c r="R2" s="41"/>
      <c r="S2" s="2"/>
      <c r="T2" s="2"/>
      <c r="U2" s="2"/>
      <c r="V2" s="2"/>
    </row>
    <row r="3" spans="1:22" ht="30" customHeight="1">
      <c r="A3" s="1303" t="s">
        <v>633</v>
      </c>
      <c r="B3" s="1303"/>
      <c r="C3" s="1303"/>
      <c r="D3" s="1303"/>
      <c r="E3" s="1303"/>
      <c r="F3" s="1303"/>
      <c r="G3" s="1303"/>
      <c r="H3" s="1303"/>
      <c r="I3" s="1303"/>
      <c r="J3" s="1303"/>
      <c r="K3" s="1303"/>
      <c r="L3" s="1303"/>
      <c r="M3" s="1303"/>
      <c r="N3" s="1303"/>
      <c r="O3" s="1303"/>
      <c r="P3" s="1303"/>
      <c r="Q3" s="1303"/>
      <c r="R3" s="1303"/>
      <c r="S3" s="2"/>
      <c r="T3" s="2"/>
      <c r="U3" s="2"/>
      <c r="V3" s="2"/>
    </row>
    <row r="4" spans="1:22" ht="30" customHeight="1">
      <c r="A4" s="1367" t="s">
        <v>634</v>
      </c>
      <c r="B4" s="1367"/>
      <c r="C4" s="1367"/>
      <c r="D4" s="1367"/>
      <c r="E4" s="1367"/>
      <c r="F4" s="1367"/>
      <c r="G4" s="1367"/>
      <c r="H4" s="1367"/>
      <c r="I4" s="1367"/>
      <c r="J4" s="1367"/>
      <c r="K4" s="1367"/>
      <c r="L4" s="1367"/>
      <c r="M4" s="1367"/>
      <c r="N4" s="1367"/>
      <c r="O4" s="1367"/>
      <c r="P4" s="1367"/>
      <c r="Q4" s="1367"/>
      <c r="R4" s="1367"/>
      <c r="S4" s="2"/>
      <c r="T4" s="2"/>
      <c r="U4" s="2"/>
      <c r="V4" s="2"/>
    </row>
    <row r="5" spans="1:22" ht="30" customHeight="1">
      <c r="A5" s="1364" t="s">
        <v>124</v>
      </c>
      <c r="B5" s="1364"/>
      <c r="C5" s="1364"/>
      <c r="D5" s="1364"/>
      <c r="E5" s="1364"/>
      <c r="F5" s="1364"/>
      <c r="G5" s="1364"/>
      <c r="H5" s="1364"/>
      <c r="I5" s="1364"/>
      <c r="J5" s="1364"/>
      <c r="K5" s="1364"/>
      <c r="L5" s="1364"/>
      <c r="M5" s="1364"/>
      <c r="N5" s="1364"/>
      <c r="O5" s="1364"/>
      <c r="P5" s="1364"/>
      <c r="Q5" s="1364"/>
      <c r="R5" s="1364"/>
      <c r="S5" s="2"/>
      <c r="T5" s="2"/>
      <c r="U5" s="2"/>
      <c r="V5" s="2"/>
    </row>
    <row r="6" spans="1:22" ht="14.5" thickBot="1">
      <c r="A6" s="3"/>
      <c r="B6" s="3"/>
      <c r="C6" s="3"/>
      <c r="D6" s="3"/>
      <c r="E6" s="3"/>
      <c r="F6" s="3"/>
      <c r="G6" s="3"/>
      <c r="H6" s="688"/>
      <c r="I6" s="688"/>
      <c r="J6" s="688"/>
      <c r="K6" s="688"/>
      <c r="L6" s="688"/>
      <c r="M6" s="3"/>
      <c r="N6" s="3"/>
      <c r="O6" s="3" t="s">
        <v>125</v>
      </c>
      <c r="P6" s="3"/>
      <c r="Q6" s="3"/>
      <c r="R6" s="42"/>
      <c r="S6" s="2"/>
      <c r="T6" s="2"/>
      <c r="U6" s="2"/>
      <c r="V6" s="2"/>
    </row>
    <row r="7" spans="1:22" s="971" customFormat="1" ht="122.25" customHeight="1">
      <c r="A7" s="1343" t="s">
        <v>5</v>
      </c>
      <c r="B7" s="1345" t="s">
        <v>126</v>
      </c>
      <c r="C7" s="1345" t="s">
        <v>127</v>
      </c>
      <c r="D7" s="1345" t="s">
        <v>635</v>
      </c>
      <c r="E7" s="1345" t="s">
        <v>128</v>
      </c>
      <c r="F7" s="1345" t="s">
        <v>515</v>
      </c>
      <c r="G7" s="1345" t="s">
        <v>516</v>
      </c>
      <c r="H7" s="1365" t="s">
        <v>339</v>
      </c>
      <c r="I7" s="1360" t="s">
        <v>742</v>
      </c>
      <c r="J7" s="1360" t="s">
        <v>130</v>
      </c>
      <c r="K7" s="1360"/>
      <c r="L7" s="1360"/>
      <c r="M7" s="1345" t="s">
        <v>131</v>
      </c>
      <c r="N7" s="1345" t="s">
        <v>132</v>
      </c>
      <c r="O7" s="1345" t="s">
        <v>133</v>
      </c>
      <c r="P7" s="1345" t="s">
        <v>134</v>
      </c>
      <c r="Q7" s="1345" t="s">
        <v>135</v>
      </c>
      <c r="R7" s="1351" t="s">
        <v>16</v>
      </c>
      <c r="S7" s="2"/>
      <c r="T7" s="2"/>
      <c r="U7" s="2"/>
      <c r="V7" s="2"/>
    </row>
    <row r="8" spans="1:22" s="971" customFormat="1" ht="144" customHeight="1">
      <c r="A8" s="1344"/>
      <c r="B8" s="1346"/>
      <c r="C8" s="1346"/>
      <c r="D8" s="1346"/>
      <c r="E8" s="1346"/>
      <c r="F8" s="1346"/>
      <c r="G8" s="1346"/>
      <c r="H8" s="1366"/>
      <c r="I8" s="1361"/>
      <c r="J8" s="958" t="s">
        <v>136</v>
      </c>
      <c r="K8" s="958" t="s">
        <v>137</v>
      </c>
      <c r="L8" s="959" t="s">
        <v>138</v>
      </c>
      <c r="M8" s="1346"/>
      <c r="N8" s="1346"/>
      <c r="O8" s="1346"/>
      <c r="P8" s="1346"/>
      <c r="Q8" s="1346"/>
      <c r="R8" s="1352"/>
      <c r="S8" s="2"/>
      <c r="T8" s="2"/>
      <c r="U8" s="2"/>
      <c r="V8" s="2"/>
    </row>
    <row r="9" spans="1:22" s="972" customFormat="1" ht="54.75" customHeight="1">
      <c r="A9" s="874" t="s">
        <v>139</v>
      </c>
      <c r="B9" s="701" t="s">
        <v>140</v>
      </c>
      <c r="C9" s="701" t="s">
        <v>141</v>
      </c>
      <c r="D9" s="702" t="s">
        <v>142</v>
      </c>
      <c r="E9" s="702" t="s">
        <v>143</v>
      </c>
      <c r="F9" s="702" t="s">
        <v>193</v>
      </c>
      <c r="G9" s="702" t="s">
        <v>144</v>
      </c>
      <c r="H9" s="959" t="s">
        <v>741</v>
      </c>
      <c r="I9" s="959" t="s">
        <v>246</v>
      </c>
      <c r="J9" s="958" t="s">
        <v>145</v>
      </c>
      <c r="K9" s="958" t="s">
        <v>146</v>
      </c>
      <c r="L9" s="958" t="s">
        <v>147</v>
      </c>
      <c r="M9" s="702" t="s">
        <v>148</v>
      </c>
      <c r="N9" s="702" t="s">
        <v>149</v>
      </c>
      <c r="O9" s="702" t="s">
        <v>150</v>
      </c>
      <c r="P9" s="702" t="s">
        <v>151</v>
      </c>
      <c r="Q9" s="702" t="s">
        <v>152</v>
      </c>
      <c r="R9" s="876" t="s">
        <v>1372</v>
      </c>
      <c r="S9" s="43"/>
      <c r="T9" s="43"/>
      <c r="U9" s="43"/>
      <c r="V9" s="43"/>
    </row>
    <row r="10" spans="1:22" s="971" customFormat="1" ht="17.25" customHeight="1">
      <c r="A10" s="882" t="s">
        <v>17</v>
      </c>
      <c r="B10" s="707" t="s">
        <v>924</v>
      </c>
      <c r="C10" s="705">
        <f>C11+C96</f>
        <v>327</v>
      </c>
      <c r="D10" s="705"/>
      <c r="E10" s="705">
        <f>E11+E96</f>
        <v>107</v>
      </c>
      <c r="F10" s="705"/>
      <c r="G10" s="705"/>
      <c r="H10" s="705">
        <f>H11+H96</f>
        <v>8503.2000000000007</v>
      </c>
      <c r="I10" s="705">
        <f t="shared" ref="I10:K10" si="0">I11+I96</f>
        <v>6411.6</v>
      </c>
      <c r="J10" s="705">
        <f t="shared" si="0"/>
        <v>6411.6</v>
      </c>
      <c r="K10" s="706">
        <f t="shared" si="0"/>
        <v>0</v>
      </c>
      <c r="L10" s="706">
        <v>0</v>
      </c>
      <c r="M10" s="707">
        <f>'Bieu 3a-Tong gio chuan chi tiet'!E65</f>
        <v>3550</v>
      </c>
      <c r="N10" s="707">
        <f>'Bieu 3a-Tong gio chuan chi tiet'!M65</f>
        <v>3306</v>
      </c>
      <c r="O10" s="707">
        <f>J10-N10</f>
        <v>3105.6000000000004</v>
      </c>
      <c r="P10" s="707">
        <f>'Bieu 3a-Tong gio chuan chi tiet'!N65</f>
        <v>3611</v>
      </c>
      <c r="Q10" s="707">
        <f>'Bieu 3a-Tong gio chuan chi tiet'!O65</f>
        <v>2828</v>
      </c>
      <c r="R10" s="960"/>
      <c r="S10" s="2"/>
      <c r="T10" s="2"/>
      <c r="U10" s="2"/>
      <c r="V10" s="2"/>
    </row>
    <row r="11" spans="1:22" s="971" customFormat="1" ht="24.9" customHeight="1">
      <c r="A11" s="882" t="s">
        <v>19</v>
      </c>
      <c r="B11" s="707" t="s">
        <v>153</v>
      </c>
      <c r="C11" s="706">
        <f>C12+C89</f>
        <v>264</v>
      </c>
      <c r="D11" s="706"/>
      <c r="E11" s="706">
        <f t="shared" ref="E11:L11" si="1">E12+E89</f>
        <v>89</v>
      </c>
      <c r="F11" s="706"/>
      <c r="G11" s="706"/>
      <c r="H11" s="706">
        <f t="shared" si="1"/>
        <v>6088.2000000000007</v>
      </c>
      <c r="I11" s="706">
        <f t="shared" si="1"/>
        <v>5372.1</v>
      </c>
      <c r="J11" s="706">
        <f t="shared" si="1"/>
        <v>5372.1</v>
      </c>
      <c r="K11" s="706">
        <f t="shared" si="1"/>
        <v>0</v>
      </c>
      <c r="L11" s="706">
        <f t="shared" si="1"/>
        <v>0</v>
      </c>
      <c r="M11" s="707"/>
      <c r="N11" s="707"/>
      <c r="O11" s="707"/>
      <c r="P11" s="707"/>
      <c r="Q11" s="707"/>
      <c r="R11" s="960"/>
      <c r="S11" s="2"/>
      <c r="T11" s="2"/>
      <c r="U11" s="2"/>
      <c r="V11" s="2"/>
    </row>
    <row r="12" spans="1:22" s="971" customFormat="1" ht="17.25" customHeight="1">
      <c r="A12" s="882">
        <v>1.1000000000000001</v>
      </c>
      <c r="B12" s="707" t="s">
        <v>20</v>
      </c>
      <c r="C12" s="706">
        <f>C13+C53</f>
        <v>250</v>
      </c>
      <c r="D12" s="706"/>
      <c r="E12" s="706">
        <f t="shared" ref="E12:L12" si="2">E13+E53</f>
        <v>85</v>
      </c>
      <c r="F12" s="706"/>
      <c r="G12" s="706"/>
      <c r="H12" s="706">
        <f t="shared" si="2"/>
        <v>5887.2000000000007</v>
      </c>
      <c r="I12" s="706">
        <f t="shared" si="2"/>
        <v>5223.6000000000004</v>
      </c>
      <c r="J12" s="706">
        <f t="shared" si="2"/>
        <v>5223.6000000000004</v>
      </c>
      <c r="K12" s="706">
        <f t="shared" si="2"/>
        <v>0</v>
      </c>
      <c r="L12" s="706">
        <f t="shared" si="2"/>
        <v>0</v>
      </c>
      <c r="M12" s="707"/>
      <c r="N12" s="707"/>
      <c r="O12" s="707"/>
      <c r="P12" s="707"/>
      <c r="Q12" s="707"/>
      <c r="R12" s="960"/>
      <c r="S12" s="2"/>
      <c r="T12" s="2"/>
      <c r="U12" s="2"/>
      <c r="V12" s="2"/>
    </row>
    <row r="13" spans="1:22" s="493" customFormat="1" ht="15.75" customHeight="1">
      <c r="A13" s="967" t="s">
        <v>1398</v>
      </c>
      <c r="B13" s="896" t="s">
        <v>1386</v>
      </c>
      <c r="C13" s="973">
        <f>C14+C46</f>
        <v>130</v>
      </c>
      <c r="D13" s="973"/>
      <c r="E13" s="973">
        <f t="shared" ref="E13:L13" si="3">E14+E46</f>
        <v>38</v>
      </c>
      <c r="F13" s="973"/>
      <c r="G13" s="973"/>
      <c r="H13" s="974">
        <f t="shared" si="3"/>
        <v>3257.3</v>
      </c>
      <c r="I13" s="974">
        <f t="shared" si="3"/>
        <v>2649.3</v>
      </c>
      <c r="J13" s="974">
        <f t="shared" si="3"/>
        <v>2649.3</v>
      </c>
      <c r="K13" s="974">
        <f t="shared" si="3"/>
        <v>0</v>
      </c>
      <c r="L13" s="974">
        <f t="shared" si="3"/>
        <v>0</v>
      </c>
      <c r="M13" s="975"/>
      <c r="N13" s="975"/>
      <c r="O13" s="975"/>
      <c r="P13" s="975"/>
      <c r="Q13" s="975"/>
      <c r="R13" s="976"/>
      <c r="S13" s="44"/>
      <c r="T13" s="44"/>
      <c r="U13" s="44"/>
      <c r="V13" s="44"/>
    </row>
    <row r="14" spans="1:22" s="493" customFormat="1" ht="15.75" customHeight="1">
      <c r="A14" s="967" t="s">
        <v>1399</v>
      </c>
      <c r="B14" s="896" t="s">
        <v>1400</v>
      </c>
      <c r="C14" s="709">
        <f>SUM(C15:C45)</f>
        <v>106</v>
      </c>
      <c r="D14" s="709"/>
      <c r="E14" s="709">
        <f t="shared" ref="E14" si="4">SUM(E15:E45)</f>
        <v>31</v>
      </c>
      <c r="F14" s="709"/>
      <c r="G14" s="709"/>
      <c r="H14" s="977">
        <f>SUM(H15:H45)</f>
        <v>2189</v>
      </c>
      <c r="I14" s="977">
        <f t="shared" ref="I14:L14" si="5">SUM(I15:I45)</f>
        <v>1746</v>
      </c>
      <c r="J14" s="977">
        <f t="shared" si="5"/>
        <v>1746</v>
      </c>
      <c r="K14" s="977">
        <f t="shared" si="5"/>
        <v>0</v>
      </c>
      <c r="L14" s="977">
        <f t="shared" si="5"/>
        <v>0</v>
      </c>
      <c r="M14" s="975"/>
      <c r="N14" s="975"/>
      <c r="O14" s="975"/>
      <c r="P14" s="975"/>
      <c r="Q14" s="975"/>
      <c r="R14" s="976"/>
      <c r="S14" s="44"/>
      <c r="T14" s="44"/>
      <c r="U14" s="44"/>
      <c r="V14" s="44"/>
    </row>
    <row r="15" spans="1:22" s="493" customFormat="1" ht="15" customHeight="1">
      <c r="A15" s="901" t="s">
        <v>155</v>
      </c>
      <c r="B15" s="918" t="s">
        <v>925</v>
      </c>
      <c r="C15" s="717">
        <v>3</v>
      </c>
      <c r="D15" s="717">
        <v>1</v>
      </c>
      <c r="E15" s="717">
        <v>1</v>
      </c>
      <c r="F15" s="717">
        <v>1</v>
      </c>
      <c r="G15" s="717">
        <v>30</v>
      </c>
      <c r="H15" s="978">
        <f>C15*D15*G15</f>
        <v>90</v>
      </c>
      <c r="I15" s="966">
        <f>C15*E15*F15*16.5</f>
        <v>49.5</v>
      </c>
      <c r="J15" s="966">
        <f>I15</f>
        <v>49.5</v>
      </c>
      <c r="K15" s="713">
        <v>0</v>
      </c>
      <c r="L15" s="713">
        <v>0</v>
      </c>
      <c r="M15" s="961"/>
      <c r="N15" s="961"/>
      <c r="O15" s="961"/>
      <c r="P15" s="961"/>
      <c r="Q15" s="961"/>
      <c r="R15" s="962"/>
      <c r="S15" s="44"/>
      <c r="T15" s="44"/>
      <c r="U15" s="44"/>
      <c r="V15" s="44"/>
    </row>
    <row r="16" spans="1:22" s="493" customFormat="1" ht="15.75" customHeight="1">
      <c r="A16" s="901" t="s">
        <v>156</v>
      </c>
      <c r="B16" s="918" t="s">
        <v>1397</v>
      </c>
      <c r="C16" s="715">
        <v>4</v>
      </c>
      <c r="D16" s="717">
        <v>1</v>
      </c>
      <c r="E16" s="715">
        <v>1</v>
      </c>
      <c r="F16" s="715">
        <v>1</v>
      </c>
      <c r="G16" s="717">
        <v>30</v>
      </c>
      <c r="H16" s="978">
        <f>C16*D16*G16</f>
        <v>120</v>
      </c>
      <c r="I16" s="966">
        <f>C16*E16*F16*16.5</f>
        <v>66</v>
      </c>
      <c r="J16" s="966">
        <f t="shared" ref="J16:J81" si="6">I16</f>
        <v>66</v>
      </c>
      <c r="K16" s="713">
        <v>0</v>
      </c>
      <c r="L16" s="713">
        <v>0</v>
      </c>
      <c r="M16" s="961"/>
      <c r="N16" s="961"/>
      <c r="O16" s="961"/>
      <c r="P16" s="961"/>
      <c r="Q16" s="961"/>
      <c r="R16" s="962"/>
      <c r="S16" s="44"/>
      <c r="T16" s="44"/>
      <c r="U16" s="44"/>
      <c r="V16" s="44"/>
    </row>
    <row r="17" spans="1:22" s="493" customFormat="1" ht="15.75" customHeight="1">
      <c r="A17" s="901" t="s">
        <v>157</v>
      </c>
      <c r="B17" s="918" t="s">
        <v>926</v>
      </c>
      <c r="C17" s="715">
        <v>4</v>
      </c>
      <c r="D17" s="717">
        <v>1</v>
      </c>
      <c r="E17" s="715">
        <v>1</v>
      </c>
      <c r="F17" s="715">
        <v>1</v>
      </c>
      <c r="G17" s="717">
        <v>30</v>
      </c>
      <c r="H17" s="978">
        <f t="shared" ref="H17:H81" si="7">C17*D17*G17</f>
        <v>120</v>
      </c>
      <c r="I17" s="966">
        <f t="shared" ref="I17:I80" si="8">C17*E17*F17*16.5</f>
        <v>66</v>
      </c>
      <c r="J17" s="966">
        <f t="shared" si="6"/>
        <v>66</v>
      </c>
      <c r="K17" s="713">
        <v>0</v>
      </c>
      <c r="L17" s="713">
        <v>0</v>
      </c>
      <c r="M17" s="961"/>
      <c r="N17" s="961"/>
      <c r="O17" s="961"/>
      <c r="P17" s="961"/>
      <c r="Q17" s="961"/>
      <c r="R17" s="962"/>
      <c r="S17" s="44"/>
      <c r="T17" s="44"/>
      <c r="U17" s="44"/>
      <c r="V17" s="44"/>
    </row>
    <row r="18" spans="1:22" s="493" customFormat="1" ht="15.75" customHeight="1">
      <c r="A18" s="901" t="s">
        <v>158</v>
      </c>
      <c r="B18" s="918" t="s">
        <v>927</v>
      </c>
      <c r="C18" s="717">
        <v>4</v>
      </c>
      <c r="D18" s="717">
        <v>1</v>
      </c>
      <c r="E18" s="717">
        <v>1</v>
      </c>
      <c r="F18" s="717">
        <v>1</v>
      </c>
      <c r="G18" s="717">
        <v>30</v>
      </c>
      <c r="H18" s="978">
        <f t="shared" si="7"/>
        <v>120</v>
      </c>
      <c r="I18" s="966">
        <f t="shared" si="8"/>
        <v>66</v>
      </c>
      <c r="J18" s="966">
        <f t="shared" si="6"/>
        <v>66</v>
      </c>
      <c r="K18" s="713">
        <v>0</v>
      </c>
      <c r="L18" s="713">
        <v>0</v>
      </c>
      <c r="M18" s="961"/>
      <c r="N18" s="961"/>
      <c r="O18" s="961"/>
      <c r="P18" s="961"/>
      <c r="Q18" s="961"/>
      <c r="R18" s="962"/>
      <c r="S18" s="44"/>
      <c r="T18" s="44"/>
      <c r="U18" s="44"/>
      <c r="V18" s="44"/>
    </row>
    <row r="19" spans="1:22" s="493" customFormat="1" ht="15.75" customHeight="1">
      <c r="A19" s="901" t="s">
        <v>159</v>
      </c>
      <c r="B19" s="918" t="s">
        <v>932</v>
      </c>
      <c r="C19" s="717">
        <v>4</v>
      </c>
      <c r="D19" s="717">
        <v>1</v>
      </c>
      <c r="E19" s="717">
        <v>1</v>
      </c>
      <c r="F19" s="717">
        <v>1</v>
      </c>
      <c r="G19" s="717">
        <v>27</v>
      </c>
      <c r="H19" s="978">
        <f t="shared" si="7"/>
        <v>108</v>
      </c>
      <c r="I19" s="966">
        <f t="shared" si="8"/>
        <v>66</v>
      </c>
      <c r="J19" s="966">
        <f t="shared" si="6"/>
        <v>66</v>
      </c>
      <c r="K19" s="713">
        <v>0</v>
      </c>
      <c r="L19" s="713">
        <v>0</v>
      </c>
      <c r="M19" s="961"/>
      <c r="N19" s="961"/>
      <c r="O19" s="961"/>
      <c r="P19" s="961"/>
      <c r="Q19" s="961"/>
      <c r="R19" s="962"/>
      <c r="S19" s="44"/>
      <c r="T19" s="44"/>
      <c r="U19" s="44"/>
      <c r="V19" s="44"/>
    </row>
    <row r="20" spans="1:22" s="493" customFormat="1" ht="15.75" customHeight="1">
      <c r="A20" s="901" t="s">
        <v>160</v>
      </c>
      <c r="B20" s="918" t="s">
        <v>933</v>
      </c>
      <c r="C20" s="717">
        <v>4</v>
      </c>
      <c r="D20" s="717">
        <v>1</v>
      </c>
      <c r="E20" s="717">
        <v>1</v>
      </c>
      <c r="F20" s="717">
        <v>1</v>
      </c>
      <c r="G20" s="717">
        <v>27</v>
      </c>
      <c r="H20" s="978">
        <f t="shared" si="7"/>
        <v>108</v>
      </c>
      <c r="I20" s="966">
        <f t="shared" si="8"/>
        <v>66</v>
      </c>
      <c r="J20" s="966">
        <f t="shared" si="6"/>
        <v>66</v>
      </c>
      <c r="K20" s="713">
        <v>0</v>
      </c>
      <c r="L20" s="713">
        <v>0</v>
      </c>
      <c r="M20" s="961"/>
      <c r="N20" s="961"/>
      <c r="O20" s="961"/>
      <c r="P20" s="961"/>
      <c r="Q20" s="961"/>
      <c r="R20" s="962"/>
      <c r="S20" s="44"/>
      <c r="T20" s="44"/>
      <c r="U20" s="44"/>
      <c r="V20" s="44"/>
    </row>
    <row r="21" spans="1:22" s="493" customFormat="1" ht="15.75" customHeight="1">
      <c r="A21" s="901" t="s">
        <v>749</v>
      </c>
      <c r="B21" s="918" t="s">
        <v>945</v>
      </c>
      <c r="C21" s="717">
        <v>4</v>
      </c>
      <c r="D21" s="717">
        <v>1</v>
      </c>
      <c r="E21" s="717">
        <v>1</v>
      </c>
      <c r="F21" s="717">
        <v>1</v>
      </c>
      <c r="G21" s="717">
        <v>6</v>
      </c>
      <c r="H21" s="978">
        <f t="shared" si="7"/>
        <v>24</v>
      </c>
      <c r="I21" s="966">
        <f t="shared" si="8"/>
        <v>66</v>
      </c>
      <c r="J21" s="966">
        <f t="shared" si="6"/>
        <v>66</v>
      </c>
      <c r="K21" s="713">
        <v>0</v>
      </c>
      <c r="L21" s="713">
        <v>0</v>
      </c>
      <c r="M21" s="961"/>
      <c r="N21" s="961"/>
      <c r="O21" s="961"/>
      <c r="P21" s="961"/>
      <c r="Q21" s="961"/>
      <c r="R21" s="962"/>
      <c r="S21" s="44"/>
      <c r="T21" s="44"/>
      <c r="U21" s="44"/>
      <c r="V21" s="44"/>
    </row>
    <row r="22" spans="1:22" s="493" customFormat="1" ht="15.75" customHeight="1">
      <c r="A22" s="901" t="s">
        <v>750</v>
      </c>
      <c r="B22" s="918" t="s">
        <v>938</v>
      </c>
      <c r="C22" s="717">
        <v>3</v>
      </c>
      <c r="D22" s="717">
        <v>1</v>
      </c>
      <c r="E22" s="717">
        <v>1</v>
      </c>
      <c r="F22" s="717">
        <v>1</v>
      </c>
      <c r="G22" s="717">
        <v>6</v>
      </c>
      <c r="H22" s="978">
        <f t="shared" si="7"/>
        <v>18</v>
      </c>
      <c r="I22" s="966">
        <f t="shared" si="8"/>
        <v>49.5</v>
      </c>
      <c r="J22" s="966">
        <f t="shared" si="6"/>
        <v>49.5</v>
      </c>
      <c r="K22" s="713">
        <v>0</v>
      </c>
      <c r="L22" s="713">
        <v>0</v>
      </c>
      <c r="M22" s="961"/>
      <c r="N22" s="961"/>
      <c r="O22" s="961"/>
      <c r="P22" s="961"/>
      <c r="Q22" s="961"/>
      <c r="R22" s="962"/>
      <c r="S22" s="44"/>
      <c r="T22" s="44"/>
      <c r="U22" s="44"/>
      <c r="V22" s="44"/>
    </row>
    <row r="23" spans="1:22" s="493" customFormat="1" ht="15.75" customHeight="1">
      <c r="A23" s="901" t="s">
        <v>752</v>
      </c>
      <c r="B23" s="918" t="s">
        <v>939</v>
      </c>
      <c r="C23" s="717">
        <v>4</v>
      </c>
      <c r="D23" s="717">
        <v>1</v>
      </c>
      <c r="E23" s="717">
        <v>1</v>
      </c>
      <c r="F23" s="717">
        <v>1</v>
      </c>
      <c r="G23" s="717">
        <v>6</v>
      </c>
      <c r="H23" s="978">
        <f t="shared" si="7"/>
        <v>24</v>
      </c>
      <c r="I23" s="966">
        <f t="shared" si="8"/>
        <v>66</v>
      </c>
      <c r="J23" s="966">
        <f t="shared" si="6"/>
        <v>66</v>
      </c>
      <c r="K23" s="713">
        <v>0</v>
      </c>
      <c r="L23" s="713">
        <v>0</v>
      </c>
      <c r="M23" s="961"/>
      <c r="N23" s="961"/>
      <c r="O23" s="961"/>
      <c r="P23" s="961"/>
      <c r="Q23" s="961"/>
      <c r="R23" s="962"/>
      <c r="S23" s="44"/>
      <c r="T23" s="44"/>
      <c r="U23" s="44"/>
      <c r="V23" s="44"/>
    </row>
    <row r="24" spans="1:22" s="493" customFormat="1" ht="15.75" customHeight="1">
      <c r="A24" s="901" t="s">
        <v>753</v>
      </c>
      <c r="B24" s="918" t="s">
        <v>940</v>
      </c>
      <c r="C24" s="715">
        <v>2</v>
      </c>
      <c r="D24" s="717">
        <v>1</v>
      </c>
      <c r="E24" s="717">
        <v>1</v>
      </c>
      <c r="F24" s="717">
        <v>1</v>
      </c>
      <c r="G24" s="717">
        <v>6</v>
      </c>
      <c r="H24" s="978">
        <f t="shared" si="7"/>
        <v>12</v>
      </c>
      <c r="I24" s="966">
        <f t="shared" si="8"/>
        <v>33</v>
      </c>
      <c r="J24" s="966">
        <f t="shared" si="6"/>
        <v>33</v>
      </c>
      <c r="K24" s="713">
        <v>0</v>
      </c>
      <c r="L24" s="713">
        <v>0</v>
      </c>
      <c r="M24" s="961"/>
      <c r="N24" s="961"/>
      <c r="O24" s="961"/>
      <c r="P24" s="961"/>
      <c r="Q24" s="961"/>
      <c r="R24" s="962"/>
      <c r="S24" s="44"/>
      <c r="T24" s="44"/>
      <c r="U24" s="44"/>
      <c r="V24" s="44"/>
    </row>
    <row r="25" spans="1:22" s="493" customFormat="1" ht="15.75" customHeight="1">
      <c r="A25" s="901" t="s">
        <v>755</v>
      </c>
      <c r="B25" s="918" t="s">
        <v>945</v>
      </c>
      <c r="C25" s="715">
        <v>4</v>
      </c>
      <c r="D25" s="717">
        <v>1</v>
      </c>
      <c r="E25" s="717">
        <v>1</v>
      </c>
      <c r="F25" s="717">
        <v>1</v>
      </c>
      <c r="G25" s="715">
        <v>36</v>
      </c>
      <c r="H25" s="978">
        <f t="shared" si="7"/>
        <v>144</v>
      </c>
      <c r="I25" s="966">
        <f t="shared" si="8"/>
        <v>66</v>
      </c>
      <c r="J25" s="966">
        <f t="shared" si="6"/>
        <v>66</v>
      </c>
      <c r="K25" s="713">
        <v>0</v>
      </c>
      <c r="L25" s="713">
        <v>0</v>
      </c>
      <c r="M25" s="961"/>
      <c r="N25" s="961"/>
      <c r="O25" s="961"/>
      <c r="P25" s="961"/>
      <c r="Q25" s="961"/>
      <c r="R25" s="962"/>
      <c r="S25" s="44"/>
      <c r="T25" s="44"/>
      <c r="U25" s="44"/>
      <c r="V25" s="44"/>
    </row>
    <row r="26" spans="1:22" s="493" customFormat="1" ht="15.75" customHeight="1">
      <c r="A26" s="901" t="s">
        <v>757</v>
      </c>
      <c r="B26" s="918" t="s">
        <v>946</v>
      </c>
      <c r="C26" s="715">
        <v>3</v>
      </c>
      <c r="D26" s="717">
        <v>1</v>
      </c>
      <c r="E26" s="717">
        <v>1</v>
      </c>
      <c r="F26" s="717">
        <v>1</v>
      </c>
      <c r="G26" s="715">
        <v>36</v>
      </c>
      <c r="H26" s="978">
        <f t="shared" si="7"/>
        <v>108</v>
      </c>
      <c r="I26" s="966">
        <f t="shared" si="8"/>
        <v>49.5</v>
      </c>
      <c r="J26" s="966">
        <f t="shared" si="6"/>
        <v>49.5</v>
      </c>
      <c r="K26" s="713">
        <v>0</v>
      </c>
      <c r="L26" s="713">
        <v>0</v>
      </c>
      <c r="M26" s="961"/>
      <c r="N26" s="961"/>
      <c r="O26" s="961"/>
      <c r="P26" s="961"/>
      <c r="Q26" s="961"/>
      <c r="R26" s="962"/>
      <c r="S26" s="44"/>
      <c r="T26" s="44"/>
      <c r="U26" s="44"/>
      <c r="V26" s="44"/>
    </row>
    <row r="27" spans="1:22" s="493" customFormat="1" ht="15.75" customHeight="1">
      <c r="A27" s="901" t="s">
        <v>758</v>
      </c>
      <c r="B27" s="914" t="s">
        <v>939</v>
      </c>
      <c r="C27" s="715">
        <v>4</v>
      </c>
      <c r="D27" s="717">
        <v>1</v>
      </c>
      <c r="E27" s="717">
        <v>1</v>
      </c>
      <c r="F27" s="717">
        <v>1</v>
      </c>
      <c r="G27" s="715">
        <v>36</v>
      </c>
      <c r="H27" s="978">
        <f t="shared" si="7"/>
        <v>144</v>
      </c>
      <c r="I27" s="966">
        <f t="shared" si="8"/>
        <v>66</v>
      </c>
      <c r="J27" s="966">
        <f t="shared" si="6"/>
        <v>66</v>
      </c>
      <c r="K27" s="713">
        <v>0</v>
      </c>
      <c r="L27" s="713">
        <v>0</v>
      </c>
      <c r="M27" s="961"/>
      <c r="N27" s="961"/>
      <c r="O27" s="961"/>
      <c r="P27" s="961"/>
      <c r="Q27" s="961"/>
      <c r="R27" s="962"/>
      <c r="S27" s="44"/>
      <c r="T27" s="44"/>
      <c r="U27" s="44"/>
      <c r="V27" s="44"/>
    </row>
    <row r="28" spans="1:22" s="493" customFormat="1" ht="15.75" customHeight="1">
      <c r="A28" s="901" t="s">
        <v>760</v>
      </c>
      <c r="B28" s="914" t="s">
        <v>940</v>
      </c>
      <c r="C28" s="715">
        <v>2</v>
      </c>
      <c r="D28" s="717">
        <v>1</v>
      </c>
      <c r="E28" s="717">
        <v>1</v>
      </c>
      <c r="F28" s="717">
        <v>1</v>
      </c>
      <c r="G28" s="715">
        <v>36</v>
      </c>
      <c r="H28" s="978">
        <f t="shared" si="7"/>
        <v>72</v>
      </c>
      <c r="I28" s="966">
        <f t="shared" si="8"/>
        <v>33</v>
      </c>
      <c r="J28" s="966">
        <f t="shared" si="6"/>
        <v>33</v>
      </c>
      <c r="K28" s="713">
        <v>0</v>
      </c>
      <c r="L28" s="713">
        <v>0</v>
      </c>
      <c r="M28" s="961"/>
      <c r="N28" s="961"/>
      <c r="O28" s="961"/>
      <c r="P28" s="961"/>
      <c r="Q28" s="961"/>
      <c r="R28" s="962"/>
      <c r="S28" s="44"/>
      <c r="T28" s="44"/>
      <c r="U28" s="44"/>
      <c r="V28" s="44"/>
    </row>
    <row r="29" spans="1:22" s="493" customFormat="1" ht="15.75" customHeight="1">
      <c r="A29" s="901" t="s">
        <v>762</v>
      </c>
      <c r="B29" s="914" t="s">
        <v>947</v>
      </c>
      <c r="C29" s="715">
        <v>4</v>
      </c>
      <c r="D29" s="717">
        <v>1</v>
      </c>
      <c r="E29" s="717">
        <v>1</v>
      </c>
      <c r="F29" s="717">
        <v>1</v>
      </c>
      <c r="G29" s="715">
        <v>36</v>
      </c>
      <c r="H29" s="978">
        <f t="shared" si="7"/>
        <v>144</v>
      </c>
      <c r="I29" s="966">
        <f t="shared" si="8"/>
        <v>66</v>
      </c>
      <c r="J29" s="966">
        <f t="shared" si="6"/>
        <v>66</v>
      </c>
      <c r="K29" s="713">
        <v>0</v>
      </c>
      <c r="L29" s="713">
        <v>0</v>
      </c>
      <c r="M29" s="961"/>
      <c r="N29" s="961"/>
      <c r="O29" s="961"/>
      <c r="P29" s="961"/>
      <c r="Q29" s="961"/>
      <c r="R29" s="962"/>
      <c r="S29" s="44"/>
      <c r="T29" s="44"/>
      <c r="U29" s="44"/>
      <c r="V29" s="44"/>
    </row>
    <row r="30" spans="1:22" s="493" customFormat="1" ht="15.75" customHeight="1">
      <c r="A30" s="901" t="s">
        <v>764</v>
      </c>
      <c r="B30" s="918" t="s">
        <v>950</v>
      </c>
      <c r="C30" s="715">
        <v>3</v>
      </c>
      <c r="D30" s="717">
        <v>1</v>
      </c>
      <c r="E30" s="717">
        <v>1</v>
      </c>
      <c r="F30" s="717">
        <v>1</v>
      </c>
      <c r="G30" s="715">
        <v>43</v>
      </c>
      <c r="H30" s="978">
        <f t="shared" si="7"/>
        <v>129</v>
      </c>
      <c r="I30" s="966">
        <f t="shared" si="8"/>
        <v>49.5</v>
      </c>
      <c r="J30" s="966">
        <f t="shared" si="6"/>
        <v>49.5</v>
      </c>
      <c r="K30" s="713">
        <v>0</v>
      </c>
      <c r="L30" s="713">
        <v>0</v>
      </c>
      <c r="M30" s="961"/>
      <c r="N30" s="961"/>
      <c r="O30" s="961"/>
      <c r="P30" s="961"/>
      <c r="Q30" s="961"/>
      <c r="R30" s="962"/>
      <c r="S30" s="44"/>
      <c r="T30" s="44"/>
      <c r="U30" s="44"/>
      <c r="V30" s="44"/>
    </row>
    <row r="31" spans="1:22" s="493" customFormat="1" ht="15.75" customHeight="1">
      <c r="A31" s="901" t="s">
        <v>766</v>
      </c>
      <c r="B31" s="918" t="s">
        <v>951</v>
      </c>
      <c r="C31" s="715">
        <v>3</v>
      </c>
      <c r="D31" s="717">
        <v>1</v>
      </c>
      <c r="E31" s="717">
        <v>1</v>
      </c>
      <c r="F31" s="717">
        <v>1</v>
      </c>
      <c r="G31" s="715">
        <v>43</v>
      </c>
      <c r="H31" s="978">
        <f t="shared" si="7"/>
        <v>129</v>
      </c>
      <c r="I31" s="966">
        <f>2*E31*F31*16.5+1*E31*F31*15</f>
        <v>48</v>
      </c>
      <c r="J31" s="966">
        <f t="shared" si="6"/>
        <v>48</v>
      </c>
      <c r="K31" s="713">
        <v>0</v>
      </c>
      <c r="L31" s="713">
        <v>0</v>
      </c>
      <c r="M31" s="961"/>
      <c r="N31" s="961"/>
      <c r="O31" s="961"/>
      <c r="P31" s="961"/>
      <c r="Q31" s="961"/>
      <c r="R31" s="962"/>
      <c r="S31" s="44"/>
      <c r="T31" s="44"/>
      <c r="U31" s="44"/>
      <c r="V31" s="44"/>
    </row>
    <row r="32" spans="1:22" s="493" customFormat="1" ht="15.75" customHeight="1">
      <c r="A32" s="901" t="s">
        <v>768</v>
      </c>
      <c r="B32" s="918" t="s">
        <v>943</v>
      </c>
      <c r="C32" s="715">
        <v>3</v>
      </c>
      <c r="D32" s="717">
        <v>1</v>
      </c>
      <c r="E32" s="717">
        <v>1</v>
      </c>
      <c r="F32" s="717">
        <v>1</v>
      </c>
      <c r="G32" s="715">
        <v>43</v>
      </c>
      <c r="H32" s="978">
        <f t="shared" si="7"/>
        <v>129</v>
      </c>
      <c r="I32" s="966">
        <f t="shared" ref="I32:I44" si="9">C32*E32*F32*16.5</f>
        <v>49.5</v>
      </c>
      <c r="J32" s="966">
        <f t="shared" si="6"/>
        <v>49.5</v>
      </c>
      <c r="K32" s="713">
        <v>0</v>
      </c>
      <c r="L32" s="713">
        <v>0</v>
      </c>
      <c r="M32" s="961"/>
      <c r="N32" s="961"/>
      <c r="O32" s="961"/>
      <c r="P32" s="961"/>
      <c r="Q32" s="961"/>
      <c r="R32" s="962"/>
      <c r="S32" s="44"/>
      <c r="T32" s="44"/>
      <c r="U32" s="44"/>
      <c r="V32" s="44"/>
    </row>
    <row r="33" spans="1:22" s="493" customFormat="1" ht="15.75" customHeight="1">
      <c r="A33" s="901" t="s">
        <v>770</v>
      </c>
      <c r="B33" s="918" t="s">
        <v>954</v>
      </c>
      <c r="C33" s="715">
        <v>4</v>
      </c>
      <c r="D33" s="717">
        <v>1</v>
      </c>
      <c r="E33" s="717">
        <v>1</v>
      </c>
      <c r="F33" s="717">
        <v>1</v>
      </c>
      <c r="G33" s="715">
        <v>11</v>
      </c>
      <c r="H33" s="978">
        <f t="shared" si="7"/>
        <v>44</v>
      </c>
      <c r="I33" s="966">
        <f t="shared" si="9"/>
        <v>66</v>
      </c>
      <c r="J33" s="966">
        <f t="shared" si="6"/>
        <v>66</v>
      </c>
      <c r="K33" s="713">
        <v>0</v>
      </c>
      <c r="L33" s="713">
        <v>0</v>
      </c>
      <c r="M33" s="961"/>
      <c r="N33" s="961"/>
      <c r="O33" s="961"/>
      <c r="P33" s="961"/>
      <c r="Q33" s="961"/>
      <c r="R33" s="962"/>
      <c r="S33" s="44"/>
      <c r="T33" s="44"/>
      <c r="U33" s="44"/>
      <c r="V33" s="44"/>
    </row>
    <row r="34" spans="1:22" s="493" customFormat="1" ht="15.75" customHeight="1">
      <c r="A34" s="901" t="s">
        <v>771</v>
      </c>
      <c r="B34" s="918" t="s">
        <v>955</v>
      </c>
      <c r="C34" s="715">
        <v>4</v>
      </c>
      <c r="D34" s="717">
        <v>1</v>
      </c>
      <c r="E34" s="717">
        <v>1</v>
      </c>
      <c r="F34" s="717">
        <v>1</v>
      </c>
      <c r="G34" s="715">
        <v>11</v>
      </c>
      <c r="H34" s="978">
        <f t="shared" si="7"/>
        <v>44</v>
      </c>
      <c r="I34" s="966">
        <f t="shared" si="9"/>
        <v>66</v>
      </c>
      <c r="J34" s="966">
        <f t="shared" si="6"/>
        <v>66</v>
      </c>
      <c r="K34" s="713">
        <v>0</v>
      </c>
      <c r="L34" s="713">
        <v>0</v>
      </c>
      <c r="M34" s="961"/>
      <c r="N34" s="961"/>
      <c r="O34" s="961"/>
      <c r="P34" s="961"/>
      <c r="Q34" s="961"/>
      <c r="R34" s="962"/>
      <c r="S34" s="44"/>
      <c r="T34" s="44"/>
      <c r="U34" s="44"/>
      <c r="V34" s="44"/>
    </row>
    <row r="35" spans="1:22" s="493" customFormat="1" ht="15.75" customHeight="1">
      <c r="A35" s="901" t="s">
        <v>772</v>
      </c>
      <c r="B35" s="918" t="s">
        <v>956</v>
      </c>
      <c r="C35" s="715">
        <v>4</v>
      </c>
      <c r="D35" s="717">
        <v>1</v>
      </c>
      <c r="E35" s="717">
        <v>1</v>
      </c>
      <c r="F35" s="717">
        <v>1</v>
      </c>
      <c r="G35" s="715">
        <v>11</v>
      </c>
      <c r="H35" s="978">
        <f t="shared" si="7"/>
        <v>44</v>
      </c>
      <c r="I35" s="966">
        <f t="shared" si="9"/>
        <v>66</v>
      </c>
      <c r="J35" s="966">
        <f t="shared" si="6"/>
        <v>66</v>
      </c>
      <c r="K35" s="713">
        <v>0</v>
      </c>
      <c r="L35" s="713">
        <v>0</v>
      </c>
      <c r="M35" s="961"/>
      <c r="N35" s="961"/>
      <c r="O35" s="961"/>
      <c r="P35" s="961"/>
      <c r="Q35" s="961"/>
      <c r="R35" s="962"/>
      <c r="S35" s="44"/>
      <c r="T35" s="44"/>
      <c r="U35" s="44"/>
      <c r="V35" s="44"/>
    </row>
    <row r="36" spans="1:22" s="493" customFormat="1" ht="15.75" customHeight="1">
      <c r="A36" s="901" t="s">
        <v>774</v>
      </c>
      <c r="B36" s="918" t="s">
        <v>957</v>
      </c>
      <c r="C36" s="715">
        <v>3</v>
      </c>
      <c r="D36" s="717">
        <v>1</v>
      </c>
      <c r="E36" s="717">
        <v>1</v>
      </c>
      <c r="F36" s="717">
        <v>1</v>
      </c>
      <c r="G36" s="715">
        <v>11</v>
      </c>
      <c r="H36" s="978">
        <f t="shared" si="7"/>
        <v>33</v>
      </c>
      <c r="I36" s="966">
        <f t="shared" si="9"/>
        <v>49.5</v>
      </c>
      <c r="J36" s="966">
        <f t="shared" si="6"/>
        <v>49.5</v>
      </c>
      <c r="K36" s="713">
        <v>0</v>
      </c>
      <c r="L36" s="713">
        <v>0</v>
      </c>
      <c r="M36" s="961"/>
      <c r="N36" s="961"/>
      <c r="O36" s="961"/>
      <c r="P36" s="961"/>
      <c r="Q36" s="961"/>
      <c r="R36" s="962"/>
      <c r="S36" s="44"/>
      <c r="T36" s="44"/>
      <c r="U36" s="44"/>
      <c r="V36" s="44"/>
    </row>
    <row r="37" spans="1:22" s="493" customFormat="1" ht="15.75" customHeight="1">
      <c r="A37" s="901" t="s">
        <v>775</v>
      </c>
      <c r="B37" s="918" t="s">
        <v>961</v>
      </c>
      <c r="C37" s="715">
        <v>3</v>
      </c>
      <c r="D37" s="717">
        <v>1</v>
      </c>
      <c r="E37" s="717">
        <v>1</v>
      </c>
      <c r="F37" s="717">
        <v>1</v>
      </c>
      <c r="G37" s="715">
        <v>9</v>
      </c>
      <c r="H37" s="978">
        <f t="shared" si="7"/>
        <v>27</v>
      </c>
      <c r="I37" s="966">
        <f t="shared" si="9"/>
        <v>49.5</v>
      </c>
      <c r="J37" s="966">
        <f t="shared" si="6"/>
        <v>49.5</v>
      </c>
      <c r="K37" s="713">
        <v>0</v>
      </c>
      <c r="L37" s="713">
        <v>0</v>
      </c>
      <c r="M37" s="961"/>
      <c r="N37" s="961"/>
      <c r="O37" s="961"/>
      <c r="P37" s="961"/>
      <c r="Q37" s="961"/>
      <c r="R37" s="962"/>
      <c r="S37" s="44"/>
      <c r="T37" s="44"/>
      <c r="U37" s="44"/>
      <c r="V37" s="44"/>
    </row>
    <row r="38" spans="1:22" s="493" customFormat="1" ht="15.75" customHeight="1">
      <c r="A38" s="901" t="s">
        <v>776</v>
      </c>
      <c r="B38" s="918" t="s">
        <v>962</v>
      </c>
      <c r="C38" s="715">
        <v>3</v>
      </c>
      <c r="D38" s="717">
        <v>1</v>
      </c>
      <c r="E38" s="717">
        <v>1</v>
      </c>
      <c r="F38" s="717">
        <v>1</v>
      </c>
      <c r="G38" s="715">
        <v>9</v>
      </c>
      <c r="H38" s="978">
        <f t="shared" si="7"/>
        <v>27</v>
      </c>
      <c r="I38" s="966">
        <f t="shared" si="9"/>
        <v>49.5</v>
      </c>
      <c r="J38" s="966">
        <f t="shared" si="6"/>
        <v>49.5</v>
      </c>
      <c r="K38" s="713">
        <v>0</v>
      </c>
      <c r="L38" s="713">
        <v>0</v>
      </c>
      <c r="M38" s="961"/>
      <c r="N38" s="961"/>
      <c r="O38" s="961"/>
      <c r="P38" s="961"/>
      <c r="Q38" s="961"/>
      <c r="R38" s="962"/>
      <c r="S38" s="44"/>
      <c r="T38" s="44"/>
      <c r="U38" s="44"/>
      <c r="V38" s="44"/>
    </row>
    <row r="39" spans="1:22" s="493" customFormat="1" ht="15.75" customHeight="1">
      <c r="A39" s="901" t="s">
        <v>778</v>
      </c>
      <c r="B39" s="918" t="s">
        <v>963</v>
      </c>
      <c r="C39" s="715">
        <v>3</v>
      </c>
      <c r="D39" s="717">
        <v>1</v>
      </c>
      <c r="E39" s="717">
        <v>1</v>
      </c>
      <c r="F39" s="717">
        <v>1</v>
      </c>
      <c r="G39" s="715">
        <v>9</v>
      </c>
      <c r="H39" s="978">
        <f t="shared" si="7"/>
        <v>27</v>
      </c>
      <c r="I39" s="966">
        <f t="shared" si="9"/>
        <v>49.5</v>
      </c>
      <c r="J39" s="966">
        <f t="shared" si="6"/>
        <v>49.5</v>
      </c>
      <c r="K39" s="713">
        <v>0</v>
      </c>
      <c r="L39" s="713">
        <v>0</v>
      </c>
      <c r="M39" s="961"/>
      <c r="N39" s="961"/>
      <c r="O39" s="961"/>
      <c r="P39" s="961"/>
      <c r="Q39" s="961"/>
      <c r="R39" s="962"/>
      <c r="S39" s="44"/>
      <c r="T39" s="44"/>
      <c r="U39" s="44"/>
      <c r="V39" s="44"/>
    </row>
    <row r="40" spans="1:22" s="493" customFormat="1" ht="15.75" customHeight="1">
      <c r="A40" s="901" t="s">
        <v>780</v>
      </c>
      <c r="B40" s="918" t="s">
        <v>964</v>
      </c>
      <c r="C40" s="715">
        <v>4</v>
      </c>
      <c r="D40" s="717">
        <v>1</v>
      </c>
      <c r="E40" s="717">
        <v>1</v>
      </c>
      <c r="F40" s="717">
        <v>1</v>
      </c>
      <c r="G40" s="715">
        <v>9</v>
      </c>
      <c r="H40" s="978">
        <f t="shared" si="7"/>
        <v>36</v>
      </c>
      <c r="I40" s="966">
        <f t="shared" si="9"/>
        <v>66</v>
      </c>
      <c r="J40" s="966">
        <f t="shared" si="6"/>
        <v>66</v>
      </c>
      <c r="K40" s="713">
        <v>0</v>
      </c>
      <c r="L40" s="713">
        <v>0</v>
      </c>
      <c r="M40" s="961"/>
      <c r="N40" s="961"/>
      <c r="O40" s="961"/>
      <c r="P40" s="961"/>
      <c r="Q40" s="961"/>
      <c r="R40" s="962"/>
      <c r="S40" s="44"/>
      <c r="T40" s="44"/>
      <c r="U40" s="44"/>
      <c r="V40" s="44"/>
    </row>
    <row r="41" spans="1:22" s="493" customFormat="1" ht="15.75" customHeight="1">
      <c r="A41" s="901" t="s">
        <v>782</v>
      </c>
      <c r="B41" s="918" t="s">
        <v>965</v>
      </c>
      <c r="C41" s="715">
        <v>4</v>
      </c>
      <c r="D41" s="717">
        <v>1</v>
      </c>
      <c r="E41" s="717">
        <v>1</v>
      </c>
      <c r="F41" s="717">
        <v>1</v>
      </c>
      <c r="G41" s="715">
        <v>9</v>
      </c>
      <c r="H41" s="978">
        <f t="shared" si="7"/>
        <v>36</v>
      </c>
      <c r="I41" s="966">
        <f t="shared" si="9"/>
        <v>66</v>
      </c>
      <c r="J41" s="966">
        <f t="shared" si="6"/>
        <v>66</v>
      </c>
      <c r="K41" s="713">
        <v>0</v>
      </c>
      <c r="L41" s="713">
        <v>0</v>
      </c>
      <c r="M41" s="961"/>
      <c r="N41" s="961"/>
      <c r="O41" s="961"/>
      <c r="P41" s="961"/>
      <c r="Q41" s="961"/>
      <c r="R41" s="962"/>
      <c r="S41" s="44"/>
      <c r="T41" s="44"/>
      <c r="U41" s="44"/>
      <c r="V41" s="44"/>
    </row>
    <row r="42" spans="1:22" s="493" customFormat="1" ht="15.75" customHeight="1">
      <c r="A42" s="901" t="s">
        <v>784</v>
      </c>
      <c r="B42" s="918" t="s">
        <v>952</v>
      </c>
      <c r="C42" s="715">
        <v>2</v>
      </c>
      <c r="D42" s="717">
        <v>1</v>
      </c>
      <c r="E42" s="717">
        <v>1</v>
      </c>
      <c r="F42" s="717">
        <v>1</v>
      </c>
      <c r="G42" s="715">
        <v>9</v>
      </c>
      <c r="H42" s="978">
        <f t="shared" si="7"/>
        <v>18</v>
      </c>
      <c r="I42" s="966">
        <f t="shared" si="9"/>
        <v>33</v>
      </c>
      <c r="J42" s="966">
        <f t="shared" si="6"/>
        <v>33</v>
      </c>
      <c r="K42" s="713">
        <v>0</v>
      </c>
      <c r="L42" s="713">
        <v>0</v>
      </c>
      <c r="M42" s="961"/>
      <c r="N42" s="961"/>
      <c r="O42" s="961"/>
      <c r="P42" s="961"/>
      <c r="Q42" s="961"/>
      <c r="R42" s="962"/>
      <c r="S42" s="44"/>
      <c r="T42" s="44"/>
      <c r="U42" s="44"/>
      <c r="V42" s="44"/>
    </row>
    <row r="43" spans="1:22" s="493" customFormat="1" ht="15.75" customHeight="1">
      <c r="A43" s="901" t="s">
        <v>948</v>
      </c>
      <c r="B43" s="918" t="s">
        <v>950</v>
      </c>
      <c r="C43" s="715">
        <v>3</v>
      </c>
      <c r="D43" s="717">
        <v>1</v>
      </c>
      <c r="E43" s="717">
        <v>1</v>
      </c>
      <c r="F43" s="717">
        <v>1</v>
      </c>
      <c r="G43" s="715">
        <v>11</v>
      </c>
      <c r="H43" s="978">
        <f t="shared" si="7"/>
        <v>33</v>
      </c>
      <c r="I43" s="966">
        <f t="shared" si="9"/>
        <v>49.5</v>
      </c>
      <c r="J43" s="966">
        <f t="shared" si="6"/>
        <v>49.5</v>
      </c>
      <c r="K43" s="713">
        <v>0</v>
      </c>
      <c r="L43" s="713">
        <v>0</v>
      </c>
      <c r="M43" s="961"/>
      <c r="N43" s="961"/>
      <c r="O43" s="961"/>
      <c r="P43" s="961"/>
      <c r="Q43" s="961"/>
      <c r="R43" s="962"/>
      <c r="S43" s="44"/>
      <c r="T43" s="44"/>
      <c r="U43" s="44"/>
      <c r="V43" s="44"/>
    </row>
    <row r="44" spans="1:22" s="493" customFormat="1" ht="15.75" customHeight="1">
      <c r="A44" s="901" t="s">
        <v>785</v>
      </c>
      <c r="B44" s="918" t="s">
        <v>964</v>
      </c>
      <c r="C44" s="715">
        <v>3</v>
      </c>
      <c r="D44" s="717">
        <v>1</v>
      </c>
      <c r="E44" s="717">
        <v>1</v>
      </c>
      <c r="F44" s="717">
        <v>1</v>
      </c>
      <c r="G44" s="715">
        <v>11</v>
      </c>
      <c r="H44" s="978">
        <f t="shared" si="7"/>
        <v>33</v>
      </c>
      <c r="I44" s="966">
        <f t="shared" si="9"/>
        <v>49.5</v>
      </c>
      <c r="J44" s="966">
        <f t="shared" si="6"/>
        <v>49.5</v>
      </c>
      <c r="K44" s="713">
        <v>0</v>
      </c>
      <c r="L44" s="713">
        <v>0</v>
      </c>
      <c r="M44" s="961"/>
      <c r="N44" s="961"/>
      <c r="O44" s="961"/>
      <c r="P44" s="961"/>
      <c r="Q44" s="961"/>
      <c r="R44" s="962"/>
      <c r="S44" s="44"/>
      <c r="T44" s="44"/>
      <c r="U44" s="44"/>
      <c r="V44" s="44"/>
    </row>
    <row r="45" spans="1:22" s="493" customFormat="1" ht="15.75" customHeight="1">
      <c r="A45" s="901" t="s">
        <v>949</v>
      </c>
      <c r="B45" s="918" t="s">
        <v>969</v>
      </c>
      <c r="C45" s="715">
        <v>4</v>
      </c>
      <c r="D45" s="717">
        <v>1</v>
      </c>
      <c r="E45" s="717">
        <v>1</v>
      </c>
      <c r="F45" s="717">
        <v>1</v>
      </c>
      <c r="G45" s="715">
        <v>11</v>
      </c>
      <c r="H45" s="978">
        <f t="shared" si="7"/>
        <v>44</v>
      </c>
      <c r="I45" s="966">
        <f>3*E45*F45*16.5+1*E45*F45*15</f>
        <v>64.5</v>
      </c>
      <c r="J45" s="966">
        <f t="shared" si="6"/>
        <v>64.5</v>
      </c>
      <c r="K45" s="713">
        <v>0</v>
      </c>
      <c r="L45" s="713">
        <v>0</v>
      </c>
      <c r="M45" s="961"/>
      <c r="N45" s="961"/>
      <c r="O45" s="961"/>
      <c r="P45" s="961"/>
      <c r="Q45" s="961"/>
      <c r="R45" s="962"/>
      <c r="S45" s="44"/>
      <c r="T45" s="44"/>
      <c r="U45" s="44"/>
      <c r="V45" s="44"/>
    </row>
    <row r="46" spans="1:22" s="493" customFormat="1" ht="28.5" customHeight="1">
      <c r="A46" s="933" t="s">
        <v>161</v>
      </c>
      <c r="B46" s="929" t="s">
        <v>162</v>
      </c>
      <c r="C46" s="710">
        <f>SUM(C47:C52)</f>
        <v>24</v>
      </c>
      <c r="D46" s="710"/>
      <c r="E46" s="710">
        <f t="shared" ref="E46:L46" si="10">SUM(E47:E52)</f>
        <v>7</v>
      </c>
      <c r="F46" s="710"/>
      <c r="G46" s="710"/>
      <c r="H46" s="979">
        <f t="shared" si="10"/>
        <v>1068.3</v>
      </c>
      <c r="I46" s="979">
        <f t="shared" si="10"/>
        <v>903.3</v>
      </c>
      <c r="J46" s="979">
        <f t="shared" si="10"/>
        <v>903.3</v>
      </c>
      <c r="K46" s="979">
        <f t="shared" si="10"/>
        <v>0</v>
      </c>
      <c r="L46" s="979">
        <f t="shared" si="10"/>
        <v>0</v>
      </c>
      <c r="M46" s="961"/>
      <c r="N46" s="961"/>
      <c r="O46" s="961"/>
      <c r="P46" s="961"/>
      <c r="Q46" s="961"/>
      <c r="R46" s="962"/>
      <c r="S46" s="44"/>
      <c r="T46" s="44"/>
      <c r="U46" s="44"/>
      <c r="V46" s="44"/>
    </row>
    <row r="47" spans="1:22" s="493" customFormat="1" ht="15.75" customHeight="1">
      <c r="A47" s="908" t="s">
        <v>163</v>
      </c>
      <c r="B47" s="902" t="s">
        <v>973</v>
      </c>
      <c r="C47" s="717">
        <v>5</v>
      </c>
      <c r="D47" s="717">
        <v>1.4</v>
      </c>
      <c r="E47" s="717">
        <v>2</v>
      </c>
      <c r="F47" s="717">
        <v>2</v>
      </c>
      <c r="G47" s="717">
        <v>73</v>
      </c>
      <c r="H47" s="978">
        <f>C47*D47*G47</f>
        <v>511</v>
      </c>
      <c r="I47" s="966">
        <f>C47*E47*F47*16.5</f>
        <v>330</v>
      </c>
      <c r="J47" s="966">
        <f t="shared" ref="J47:J52" si="11">I47</f>
        <v>330</v>
      </c>
      <c r="K47" s="963">
        <v>0</v>
      </c>
      <c r="L47" s="963">
        <v>0</v>
      </c>
      <c r="M47" s="964"/>
      <c r="N47" s="964"/>
      <c r="O47" s="964"/>
      <c r="P47" s="964"/>
      <c r="Q47" s="964"/>
      <c r="R47" s="965"/>
      <c r="S47" s="44"/>
      <c r="T47" s="44"/>
      <c r="U47" s="44"/>
      <c r="V47" s="44"/>
    </row>
    <row r="48" spans="1:22" s="493" customFormat="1" ht="15.75" customHeight="1">
      <c r="A48" s="908" t="s">
        <v>166</v>
      </c>
      <c r="B48" s="902" t="s">
        <v>976</v>
      </c>
      <c r="C48" s="717">
        <v>3</v>
      </c>
      <c r="D48" s="717">
        <v>1.4</v>
      </c>
      <c r="E48" s="717">
        <v>1</v>
      </c>
      <c r="F48" s="717">
        <v>1</v>
      </c>
      <c r="G48" s="717">
        <v>57</v>
      </c>
      <c r="H48" s="978">
        <f>C48*D48*G48</f>
        <v>239.39999999999995</v>
      </c>
      <c r="I48" s="966">
        <f>C48*D48*G48</f>
        <v>239.39999999999995</v>
      </c>
      <c r="J48" s="966">
        <f t="shared" si="11"/>
        <v>239.39999999999995</v>
      </c>
      <c r="K48" s="963">
        <v>0</v>
      </c>
      <c r="L48" s="963">
        <v>0</v>
      </c>
      <c r="M48" s="964"/>
      <c r="N48" s="964"/>
      <c r="O48" s="964"/>
      <c r="P48" s="964"/>
      <c r="Q48" s="964"/>
      <c r="R48" s="965"/>
      <c r="S48" s="44"/>
      <c r="T48" s="44"/>
      <c r="U48" s="44"/>
      <c r="V48" s="44"/>
    </row>
    <row r="49" spans="1:22" s="493" customFormat="1" ht="15.75" customHeight="1">
      <c r="A49" s="908" t="s">
        <v>168</v>
      </c>
      <c r="B49" s="902" t="s">
        <v>977</v>
      </c>
      <c r="C49" s="717">
        <v>3</v>
      </c>
      <c r="D49" s="717">
        <v>1.4</v>
      </c>
      <c r="E49" s="717">
        <v>1</v>
      </c>
      <c r="F49" s="717">
        <v>1</v>
      </c>
      <c r="G49" s="717">
        <v>6</v>
      </c>
      <c r="H49" s="978">
        <f>C49*D49*G49</f>
        <v>25.199999999999996</v>
      </c>
      <c r="I49" s="966">
        <f t="shared" ref="I49:I50" si="12">C49*D49*G49</f>
        <v>25.199999999999996</v>
      </c>
      <c r="J49" s="966">
        <f t="shared" si="11"/>
        <v>25.199999999999996</v>
      </c>
      <c r="K49" s="963">
        <v>0</v>
      </c>
      <c r="L49" s="963">
        <v>0</v>
      </c>
      <c r="M49" s="964"/>
      <c r="N49" s="964"/>
      <c r="O49" s="964"/>
      <c r="P49" s="964"/>
      <c r="Q49" s="964"/>
      <c r="R49" s="965"/>
      <c r="S49" s="44"/>
      <c r="T49" s="44"/>
      <c r="U49" s="44"/>
      <c r="V49" s="44"/>
    </row>
    <row r="50" spans="1:22" s="493" customFormat="1" ht="15.75" customHeight="1">
      <c r="A50" s="908" t="s">
        <v>978</v>
      </c>
      <c r="B50" s="902" t="s">
        <v>979</v>
      </c>
      <c r="C50" s="717">
        <v>3</v>
      </c>
      <c r="D50" s="717">
        <v>1.4</v>
      </c>
      <c r="E50" s="717">
        <v>1</v>
      </c>
      <c r="F50" s="717">
        <v>1</v>
      </c>
      <c r="G50" s="717">
        <v>36</v>
      </c>
      <c r="H50" s="978">
        <f>C50*D50*G50</f>
        <v>151.19999999999999</v>
      </c>
      <c r="I50" s="966">
        <f t="shared" si="12"/>
        <v>151.19999999999999</v>
      </c>
      <c r="J50" s="966">
        <f t="shared" si="11"/>
        <v>151.19999999999999</v>
      </c>
      <c r="K50" s="963">
        <v>0</v>
      </c>
      <c r="L50" s="963">
        <v>0</v>
      </c>
      <c r="M50" s="964"/>
      <c r="N50" s="964"/>
      <c r="O50" s="964"/>
      <c r="P50" s="964"/>
      <c r="Q50" s="964"/>
      <c r="R50" s="965"/>
      <c r="S50" s="44"/>
      <c r="T50" s="44"/>
      <c r="U50" s="44"/>
      <c r="V50" s="44"/>
    </row>
    <row r="51" spans="1:22" s="493" customFormat="1" ht="15.75" customHeight="1">
      <c r="A51" s="908" t="s">
        <v>980</v>
      </c>
      <c r="B51" s="902" t="s">
        <v>973</v>
      </c>
      <c r="C51" s="717">
        <v>5</v>
      </c>
      <c r="D51" s="717">
        <v>1.4</v>
      </c>
      <c r="E51" s="717">
        <v>1</v>
      </c>
      <c r="F51" s="717">
        <v>1</v>
      </c>
      <c r="G51" s="717">
        <v>10</v>
      </c>
      <c r="H51" s="978">
        <f>C51*D51*G51</f>
        <v>70</v>
      </c>
      <c r="I51" s="966">
        <f>C51*E51*F51*16.5</f>
        <v>82.5</v>
      </c>
      <c r="J51" s="966">
        <f t="shared" si="11"/>
        <v>82.5</v>
      </c>
      <c r="K51" s="963">
        <v>0</v>
      </c>
      <c r="L51" s="963">
        <v>0</v>
      </c>
      <c r="M51" s="964"/>
      <c r="N51" s="964"/>
      <c r="O51" s="964"/>
      <c r="P51" s="964"/>
      <c r="Q51" s="964"/>
      <c r="R51" s="965"/>
      <c r="S51" s="44"/>
      <c r="T51" s="44"/>
      <c r="U51" s="44"/>
      <c r="V51" s="44"/>
    </row>
    <row r="52" spans="1:22" s="493" customFormat="1" ht="15.75" customHeight="1">
      <c r="A52" s="908" t="s">
        <v>981</v>
      </c>
      <c r="B52" s="902" t="s">
        <v>982</v>
      </c>
      <c r="C52" s="717">
        <v>5</v>
      </c>
      <c r="D52" s="717">
        <v>1.3</v>
      </c>
      <c r="E52" s="717">
        <v>1</v>
      </c>
      <c r="F52" s="717">
        <v>1</v>
      </c>
      <c r="G52" s="717">
        <v>11</v>
      </c>
      <c r="H52" s="978">
        <f t="shared" ref="H52" si="13">C52*D52*G52</f>
        <v>71.5</v>
      </c>
      <c r="I52" s="966">
        <f t="shared" ref="I52" si="14">C52*E52*F52*15</f>
        <v>75</v>
      </c>
      <c r="J52" s="966">
        <f t="shared" si="11"/>
        <v>75</v>
      </c>
      <c r="K52" s="963">
        <v>0</v>
      </c>
      <c r="L52" s="963">
        <v>0</v>
      </c>
      <c r="M52" s="964"/>
      <c r="N52" s="964"/>
      <c r="O52" s="964"/>
      <c r="P52" s="964"/>
      <c r="Q52" s="964"/>
      <c r="R52" s="965"/>
      <c r="S52" s="44"/>
      <c r="T52" s="44"/>
      <c r="U52" s="44"/>
      <c r="V52" s="44"/>
    </row>
    <row r="53" spans="1:22" s="493" customFormat="1" ht="15.75" customHeight="1">
      <c r="A53" s="980">
        <v>1.2</v>
      </c>
      <c r="B53" s="921" t="s">
        <v>1381</v>
      </c>
      <c r="C53" s="710">
        <f>C54+C83</f>
        <v>120</v>
      </c>
      <c r="D53" s="710"/>
      <c r="E53" s="710">
        <f t="shared" ref="E53:L53" si="15">E54+E83</f>
        <v>47</v>
      </c>
      <c r="F53" s="710"/>
      <c r="G53" s="710"/>
      <c r="H53" s="710">
        <f t="shared" si="15"/>
        <v>2629.9</v>
      </c>
      <c r="I53" s="710">
        <f t="shared" si="15"/>
        <v>2574.3000000000002</v>
      </c>
      <c r="J53" s="710">
        <f t="shared" si="15"/>
        <v>2574.3000000000002</v>
      </c>
      <c r="K53" s="710">
        <f t="shared" si="15"/>
        <v>0</v>
      </c>
      <c r="L53" s="710">
        <f t="shared" si="15"/>
        <v>0</v>
      </c>
      <c r="M53" s="961"/>
      <c r="N53" s="961"/>
      <c r="O53" s="961"/>
      <c r="P53" s="961"/>
      <c r="Q53" s="961"/>
      <c r="R53" s="962"/>
      <c r="S53" s="44"/>
      <c r="T53" s="44"/>
      <c r="U53" s="44"/>
      <c r="V53" s="44"/>
    </row>
    <row r="54" spans="1:22" s="493" customFormat="1" ht="15.75" customHeight="1">
      <c r="A54" s="967" t="s">
        <v>1399</v>
      </c>
      <c r="B54" s="896" t="s">
        <v>1400</v>
      </c>
      <c r="C54" s="710">
        <f>SUM(C55:C82)</f>
        <v>103</v>
      </c>
      <c r="D54" s="710"/>
      <c r="E54" s="710">
        <f t="shared" ref="E54:L54" si="16">SUM(E55:E82)</f>
        <v>42</v>
      </c>
      <c r="F54" s="710"/>
      <c r="G54" s="710"/>
      <c r="H54" s="979">
        <f t="shared" si="16"/>
        <v>2236</v>
      </c>
      <c r="I54" s="979">
        <f t="shared" si="16"/>
        <v>2158.5</v>
      </c>
      <c r="J54" s="979">
        <f t="shared" si="16"/>
        <v>2158.5</v>
      </c>
      <c r="K54" s="981">
        <f t="shared" si="16"/>
        <v>0</v>
      </c>
      <c r="L54" s="981">
        <f t="shared" si="16"/>
        <v>0</v>
      </c>
      <c r="M54" s="961"/>
      <c r="N54" s="961"/>
      <c r="O54" s="961"/>
      <c r="P54" s="961"/>
      <c r="Q54" s="961"/>
      <c r="R54" s="962"/>
      <c r="S54" s="44"/>
      <c r="T54" s="44"/>
      <c r="U54" s="44"/>
      <c r="V54" s="44"/>
    </row>
    <row r="55" spans="1:22" s="493" customFormat="1" ht="15.75" customHeight="1">
      <c r="A55" s="901" t="s">
        <v>155</v>
      </c>
      <c r="B55" s="918" t="s">
        <v>928</v>
      </c>
      <c r="C55" s="717">
        <v>4</v>
      </c>
      <c r="D55" s="717">
        <v>1</v>
      </c>
      <c r="E55" s="717">
        <v>1</v>
      </c>
      <c r="F55" s="717">
        <v>1</v>
      </c>
      <c r="G55" s="717">
        <v>30</v>
      </c>
      <c r="H55" s="978">
        <f t="shared" ref="H55:H60" si="17">C55*D55*G55</f>
        <v>120</v>
      </c>
      <c r="I55" s="966">
        <f t="shared" ref="I55:I60" si="18">C55*E55*F55*16.5</f>
        <v>66</v>
      </c>
      <c r="J55" s="966">
        <f t="shared" ref="J55:J60" si="19">I55</f>
        <v>66</v>
      </c>
      <c r="K55" s="963">
        <v>0</v>
      </c>
      <c r="L55" s="963">
        <v>0</v>
      </c>
      <c r="M55" s="961"/>
      <c r="N55" s="961"/>
      <c r="O55" s="961"/>
      <c r="P55" s="961"/>
      <c r="Q55" s="961"/>
      <c r="R55" s="962"/>
      <c r="S55" s="44"/>
      <c r="T55" s="44"/>
      <c r="U55" s="44"/>
      <c r="V55" s="44"/>
    </row>
    <row r="56" spans="1:22" s="493" customFormat="1" ht="15.75" customHeight="1">
      <c r="A56" s="901" t="s">
        <v>156</v>
      </c>
      <c r="B56" s="918" t="s">
        <v>929</v>
      </c>
      <c r="C56" s="717">
        <v>3</v>
      </c>
      <c r="D56" s="717">
        <v>1</v>
      </c>
      <c r="E56" s="717">
        <v>1</v>
      </c>
      <c r="F56" s="717">
        <v>1</v>
      </c>
      <c r="G56" s="717">
        <v>30</v>
      </c>
      <c r="H56" s="978">
        <f t="shared" si="17"/>
        <v>90</v>
      </c>
      <c r="I56" s="966">
        <f t="shared" si="18"/>
        <v>49.5</v>
      </c>
      <c r="J56" s="966">
        <f t="shared" si="19"/>
        <v>49.5</v>
      </c>
      <c r="K56" s="963">
        <v>0</v>
      </c>
      <c r="L56" s="963">
        <v>0</v>
      </c>
      <c r="M56" s="961"/>
      <c r="N56" s="961"/>
      <c r="O56" s="961"/>
      <c r="P56" s="961"/>
      <c r="Q56" s="961"/>
      <c r="R56" s="962"/>
      <c r="S56" s="44"/>
      <c r="T56" s="44"/>
      <c r="U56" s="44"/>
      <c r="V56" s="44"/>
    </row>
    <row r="57" spans="1:22" s="493" customFormat="1" ht="15.75" customHeight="1">
      <c r="A57" s="901" t="s">
        <v>157</v>
      </c>
      <c r="B57" s="918" t="s">
        <v>930</v>
      </c>
      <c r="C57" s="717">
        <v>4</v>
      </c>
      <c r="D57" s="717">
        <v>1</v>
      </c>
      <c r="E57" s="717">
        <v>1</v>
      </c>
      <c r="F57" s="717">
        <v>1</v>
      </c>
      <c r="G57" s="717">
        <v>30</v>
      </c>
      <c r="H57" s="978">
        <f t="shared" si="17"/>
        <v>120</v>
      </c>
      <c r="I57" s="966">
        <f t="shared" si="18"/>
        <v>66</v>
      </c>
      <c r="J57" s="966">
        <f t="shared" si="19"/>
        <v>66</v>
      </c>
      <c r="K57" s="963">
        <v>0</v>
      </c>
      <c r="L57" s="963">
        <v>0</v>
      </c>
      <c r="M57" s="961"/>
      <c r="N57" s="961"/>
      <c r="O57" s="961"/>
      <c r="P57" s="961"/>
      <c r="Q57" s="961"/>
      <c r="R57" s="962"/>
      <c r="S57" s="44"/>
      <c r="T57" s="44"/>
      <c r="U57" s="44"/>
      <c r="V57" s="44"/>
    </row>
    <row r="58" spans="1:22" s="493" customFormat="1" ht="15.75" customHeight="1">
      <c r="A58" s="901" t="s">
        <v>158</v>
      </c>
      <c r="B58" s="918" t="s">
        <v>931</v>
      </c>
      <c r="C58" s="717">
        <v>4</v>
      </c>
      <c r="D58" s="717">
        <v>1</v>
      </c>
      <c r="E58" s="717">
        <v>1</v>
      </c>
      <c r="F58" s="717">
        <v>1</v>
      </c>
      <c r="G58" s="717">
        <v>30</v>
      </c>
      <c r="H58" s="978">
        <f t="shared" si="17"/>
        <v>120</v>
      </c>
      <c r="I58" s="966">
        <f t="shared" si="18"/>
        <v>66</v>
      </c>
      <c r="J58" s="966">
        <f t="shared" si="19"/>
        <v>66</v>
      </c>
      <c r="K58" s="963">
        <v>0</v>
      </c>
      <c r="L58" s="963">
        <v>0</v>
      </c>
      <c r="M58" s="961"/>
      <c r="N58" s="961"/>
      <c r="O58" s="961"/>
      <c r="P58" s="961"/>
      <c r="Q58" s="961"/>
      <c r="R58" s="962"/>
      <c r="S58" s="44"/>
      <c r="T58" s="44"/>
      <c r="U58" s="44"/>
      <c r="V58" s="44"/>
    </row>
    <row r="59" spans="1:22" s="493" customFormat="1" ht="15.75" customHeight="1">
      <c r="A59" s="901" t="s">
        <v>159</v>
      </c>
      <c r="B59" s="918" t="s">
        <v>934</v>
      </c>
      <c r="C59" s="717">
        <v>3</v>
      </c>
      <c r="D59" s="717">
        <v>1</v>
      </c>
      <c r="E59" s="717">
        <v>1</v>
      </c>
      <c r="F59" s="717">
        <v>1</v>
      </c>
      <c r="G59" s="717">
        <v>27</v>
      </c>
      <c r="H59" s="978">
        <f t="shared" si="17"/>
        <v>81</v>
      </c>
      <c r="I59" s="966">
        <f t="shared" si="18"/>
        <v>49.5</v>
      </c>
      <c r="J59" s="966">
        <f t="shared" si="19"/>
        <v>49.5</v>
      </c>
      <c r="K59" s="963">
        <v>0</v>
      </c>
      <c r="L59" s="963">
        <v>0</v>
      </c>
      <c r="M59" s="961"/>
      <c r="N59" s="961"/>
      <c r="O59" s="961"/>
      <c r="P59" s="961"/>
      <c r="Q59" s="961"/>
      <c r="R59" s="962"/>
      <c r="S59" s="44"/>
      <c r="T59" s="44"/>
      <c r="U59" s="44"/>
      <c r="V59" s="44"/>
    </row>
    <row r="60" spans="1:22" s="493" customFormat="1" ht="15.75" customHeight="1">
      <c r="A60" s="901" t="s">
        <v>160</v>
      </c>
      <c r="B60" s="918" t="s">
        <v>935</v>
      </c>
      <c r="C60" s="717">
        <v>4</v>
      </c>
      <c r="D60" s="717">
        <v>1</v>
      </c>
      <c r="E60" s="717">
        <v>1</v>
      </c>
      <c r="F60" s="717">
        <v>1</v>
      </c>
      <c r="G60" s="717">
        <v>27</v>
      </c>
      <c r="H60" s="978">
        <f t="shared" si="17"/>
        <v>108</v>
      </c>
      <c r="I60" s="966">
        <f t="shared" si="18"/>
        <v>66</v>
      </c>
      <c r="J60" s="966">
        <f t="shared" si="19"/>
        <v>66</v>
      </c>
      <c r="K60" s="963">
        <v>0</v>
      </c>
      <c r="L60" s="963">
        <v>0</v>
      </c>
      <c r="M60" s="961"/>
      <c r="N60" s="961"/>
      <c r="O60" s="961"/>
      <c r="P60" s="961"/>
      <c r="Q60" s="961"/>
      <c r="R60" s="962"/>
      <c r="S60" s="44"/>
      <c r="T60" s="44"/>
      <c r="U60" s="44"/>
      <c r="V60" s="44"/>
    </row>
    <row r="61" spans="1:22" s="493" customFormat="1" ht="15.75" customHeight="1">
      <c r="A61" s="901" t="s">
        <v>749</v>
      </c>
      <c r="B61" s="918" t="s">
        <v>936</v>
      </c>
      <c r="C61" s="717">
        <v>4</v>
      </c>
      <c r="D61" s="717">
        <v>1</v>
      </c>
      <c r="E61" s="717">
        <v>1</v>
      </c>
      <c r="F61" s="717">
        <v>1</v>
      </c>
      <c r="G61" s="717">
        <v>27</v>
      </c>
      <c r="H61" s="978">
        <f t="shared" si="7"/>
        <v>108</v>
      </c>
      <c r="I61" s="966">
        <f t="shared" si="8"/>
        <v>66</v>
      </c>
      <c r="J61" s="966">
        <f t="shared" si="6"/>
        <v>66</v>
      </c>
      <c r="K61" s="963">
        <v>0</v>
      </c>
      <c r="L61" s="963">
        <v>0</v>
      </c>
      <c r="M61" s="961"/>
      <c r="N61" s="961"/>
      <c r="O61" s="961"/>
      <c r="P61" s="961"/>
      <c r="Q61" s="961"/>
      <c r="R61" s="962"/>
      <c r="S61" s="44"/>
      <c r="T61" s="44"/>
      <c r="U61" s="44"/>
      <c r="V61" s="44"/>
    </row>
    <row r="62" spans="1:22" s="493" customFormat="1" ht="30" customHeight="1">
      <c r="A62" s="901" t="s">
        <v>750</v>
      </c>
      <c r="B62" s="918" t="s">
        <v>937</v>
      </c>
      <c r="C62" s="717">
        <v>4</v>
      </c>
      <c r="D62" s="717">
        <v>1</v>
      </c>
      <c r="E62" s="717">
        <v>1</v>
      </c>
      <c r="F62" s="717">
        <v>1</v>
      </c>
      <c r="G62" s="717">
        <v>27</v>
      </c>
      <c r="H62" s="978">
        <f t="shared" si="7"/>
        <v>108</v>
      </c>
      <c r="I62" s="966">
        <f t="shared" si="8"/>
        <v>66</v>
      </c>
      <c r="J62" s="966">
        <f t="shared" si="6"/>
        <v>66</v>
      </c>
      <c r="K62" s="963">
        <v>0</v>
      </c>
      <c r="L62" s="963">
        <v>0</v>
      </c>
      <c r="M62" s="961"/>
      <c r="N62" s="961"/>
      <c r="O62" s="961"/>
      <c r="P62" s="961"/>
      <c r="Q62" s="961"/>
      <c r="R62" s="962"/>
      <c r="S62" s="44"/>
      <c r="T62" s="44"/>
      <c r="U62" s="44"/>
      <c r="V62" s="44"/>
    </row>
    <row r="63" spans="1:22" s="493" customFormat="1" ht="15.75" customHeight="1">
      <c r="A63" s="901" t="s">
        <v>752</v>
      </c>
      <c r="B63" s="918" t="s">
        <v>947</v>
      </c>
      <c r="C63" s="717">
        <v>4</v>
      </c>
      <c r="D63" s="717">
        <v>1</v>
      </c>
      <c r="E63" s="717">
        <v>1</v>
      </c>
      <c r="F63" s="717">
        <v>1</v>
      </c>
      <c r="G63" s="717">
        <v>6</v>
      </c>
      <c r="H63" s="978">
        <f t="shared" si="7"/>
        <v>24</v>
      </c>
      <c r="I63" s="966">
        <f t="shared" si="8"/>
        <v>66</v>
      </c>
      <c r="J63" s="966">
        <f t="shared" si="6"/>
        <v>66</v>
      </c>
      <c r="K63" s="963">
        <v>0</v>
      </c>
      <c r="L63" s="963">
        <v>0</v>
      </c>
      <c r="M63" s="961"/>
      <c r="N63" s="961"/>
      <c r="O63" s="961"/>
      <c r="P63" s="961"/>
      <c r="Q63" s="961"/>
      <c r="R63" s="962"/>
      <c r="S63" s="44"/>
      <c r="T63" s="44"/>
      <c r="U63" s="44"/>
      <c r="V63" s="44"/>
    </row>
    <row r="64" spans="1:22" s="493" customFormat="1" ht="15.75" customHeight="1">
      <c r="A64" s="901" t="s">
        <v>753</v>
      </c>
      <c r="B64" s="918" t="s">
        <v>941</v>
      </c>
      <c r="C64" s="717">
        <v>4</v>
      </c>
      <c r="D64" s="717">
        <v>1</v>
      </c>
      <c r="E64" s="717">
        <v>1</v>
      </c>
      <c r="F64" s="717">
        <v>1</v>
      </c>
      <c r="G64" s="717">
        <v>6</v>
      </c>
      <c r="H64" s="978">
        <f t="shared" si="7"/>
        <v>24</v>
      </c>
      <c r="I64" s="966">
        <f t="shared" si="8"/>
        <v>66</v>
      </c>
      <c r="J64" s="966">
        <f t="shared" si="6"/>
        <v>66</v>
      </c>
      <c r="K64" s="963">
        <v>0</v>
      </c>
      <c r="L64" s="963">
        <v>0</v>
      </c>
      <c r="M64" s="961"/>
      <c r="N64" s="961"/>
      <c r="O64" s="961"/>
      <c r="P64" s="961"/>
      <c r="Q64" s="961"/>
      <c r="R64" s="962"/>
      <c r="S64" s="44"/>
      <c r="T64" s="44"/>
      <c r="U64" s="44"/>
      <c r="V64" s="44"/>
    </row>
    <row r="65" spans="1:22" s="493" customFormat="1" ht="15.75" customHeight="1">
      <c r="A65" s="901" t="s">
        <v>755</v>
      </c>
      <c r="B65" s="918" t="s">
        <v>942</v>
      </c>
      <c r="C65" s="717">
        <v>3</v>
      </c>
      <c r="D65" s="717">
        <v>1</v>
      </c>
      <c r="E65" s="717">
        <v>1</v>
      </c>
      <c r="F65" s="717">
        <v>1</v>
      </c>
      <c r="G65" s="717">
        <v>6</v>
      </c>
      <c r="H65" s="978">
        <f t="shared" si="7"/>
        <v>18</v>
      </c>
      <c r="I65" s="966">
        <f t="shared" si="8"/>
        <v>49.5</v>
      </c>
      <c r="J65" s="966">
        <f t="shared" si="6"/>
        <v>49.5</v>
      </c>
      <c r="K65" s="963">
        <v>0</v>
      </c>
      <c r="L65" s="963">
        <v>0</v>
      </c>
      <c r="M65" s="961"/>
      <c r="N65" s="961"/>
      <c r="O65" s="961"/>
      <c r="P65" s="961"/>
      <c r="Q65" s="961"/>
      <c r="R65" s="962"/>
      <c r="S65" s="44"/>
      <c r="T65" s="44"/>
      <c r="U65" s="44"/>
      <c r="V65" s="44"/>
    </row>
    <row r="66" spans="1:22" s="493" customFormat="1" ht="15.75" customHeight="1">
      <c r="A66" s="901" t="s">
        <v>757</v>
      </c>
      <c r="B66" s="918" t="s">
        <v>943</v>
      </c>
      <c r="C66" s="717">
        <v>4</v>
      </c>
      <c r="D66" s="717">
        <v>1</v>
      </c>
      <c r="E66" s="717">
        <v>1</v>
      </c>
      <c r="F66" s="717">
        <v>1</v>
      </c>
      <c r="G66" s="717">
        <v>6</v>
      </c>
      <c r="H66" s="978">
        <f t="shared" si="7"/>
        <v>24</v>
      </c>
      <c r="I66" s="966">
        <f t="shared" si="8"/>
        <v>66</v>
      </c>
      <c r="J66" s="966">
        <f t="shared" si="6"/>
        <v>66</v>
      </c>
      <c r="K66" s="963">
        <v>0</v>
      </c>
      <c r="L66" s="963">
        <v>0</v>
      </c>
      <c r="M66" s="961"/>
      <c r="N66" s="961"/>
      <c r="O66" s="961"/>
      <c r="P66" s="961"/>
      <c r="Q66" s="961"/>
      <c r="R66" s="962"/>
      <c r="S66" s="44"/>
      <c r="T66" s="44"/>
      <c r="U66" s="44"/>
      <c r="V66" s="44"/>
    </row>
    <row r="67" spans="1:22" s="493" customFormat="1" ht="15.75" customHeight="1">
      <c r="A67" s="901" t="s">
        <v>758</v>
      </c>
      <c r="B67" s="918" t="s">
        <v>944</v>
      </c>
      <c r="C67" s="715">
        <v>4</v>
      </c>
      <c r="D67" s="717">
        <v>1</v>
      </c>
      <c r="E67" s="717">
        <v>1</v>
      </c>
      <c r="F67" s="717">
        <v>1</v>
      </c>
      <c r="G67" s="717">
        <v>6</v>
      </c>
      <c r="H67" s="978">
        <f t="shared" si="7"/>
        <v>24</v>
      </c>
      <c r="I67" s="966">
        <f t="shared" si="8"/>
        <v>66</v>
      </c>
      <c r="J67" s="966">
        <f t="shared" si="6"/>
        <v>66</v>
      </c>
      <c r="K67" s="963">
        <v>0</v>
      </c>
      <c r="L67" s="963">
        <v>0</v>
      </c>
      <c r="M67" s="961"/>
      <c r="N67" s="961"/>
      <c r="O67" s="961"/>
      <c r="P67" s="961"/>
      <c r="Q67" s="961"/>
      <c r="R67" s="962"/>
      <c r="S67" s="44"/>
      <c r="T67" s="44"/>
      <c r="U67" s="44"/>
      <c r="V67" s="44"/>
    </row>
    <row r="68" spans="1:22" s="493" customFormat="1" ht="15.75" customHeight="1">
      <c r="A68" s="901" t="s">
        <v>760</v>
      </c>
      <c r="B68" s="914" t="s">
        <v>941</v>
      </c>
      <c r="C68" s="715">
        <v>4</v>
      </c>
      <c r="D68" s="717">
        <v>1</v>
      </c>
      <c r="E68" s="717">
        <v>1</v>
      </c>
      <c r="F68" s="717">
        <v>1</v>
      </c>
      <c r="G68" s="715">
        <v>36</v>
      </c>
      <c r="H68" s="978">
        <f t="shared" si="7"/>
        <v>144</v>
      </c>
      <c r="I68" s="966">
        <f t="shared" si="8"/>
        <v>66</v>
      </c>
      <c r="J68" s="966">
        <f t="shared" si="6"/>
        <v>66</v>
      </c>
      <c r="K68" s="963">
        <v>0</v>
      </c>
      <c r="L68" s="963">
        <v>0</v>
      </c>
      <c r="M68" s="961"/>
      <c r="N68" s="961"/>
      <c r="O68" s="961"/>
      <c r="P68" s="961"/>
      <c r="Q68" s="961"/>
      <c r="R68" s="962"/>
      <c r="S68" s="44"/>
      <c r="T68" s="44"/>
      <c r="U68" s="44"/>
      <c r="V68" s="44"/>
    </row>
    <row r="69" spans="1:22" s="493" customFormat="1" ht="15.75" customHeight="1">
      <c r="A69" s="901" t="s">
        <v>762</v>
      </c>
      <c r="B69" s="914" t="s">
        <v>942</v>
      </c>
      <c r="C69" s="715">
        <v>3</v>
      </c>
      <c r="D69" s="717">
        <v>1</v>
      </c>
      <c r="E69" s="717">
        <v>1</v>
      </c>
      <c r="F69" s="717">
        <v>1</v>
      </c>
      <c r="G69" s="715">
        <v>36</v>
      </c>
      <c r="H69" s="978">
        <f t="shared" si="7"/>
        <v>108</v>
      </c>
      <c r="I69" s="966">
        <f t="shared" si="8"/>
        <v>49.5</v>
      </c>
      <c r="J69" s="966">
        <f t="shared" si="6"/>
        <v>49.5</v>
      </c>
      <c r="K69" s="963">
        <v>0</v>
      </c>
      <c r="L69" s="963">
        <v>0</v>
      </c>
      <c r="M69" s="961"/>
      <c r="N69" s="961"/>
      <c r="O69" s="961"/>
      <c r="P69" s="961"/>
      <c r="Q69" s="961"/>
      <c r="R69" s="962"/>
      <c r="S69" s="44"/>
      <c r="T69" s="44"/>
      <c r="U69" s="44"/>
      <c r="V69" s="44"/>
    </row>
    <row r="70" spans="1:22" s="493" customFormat="1" ht="15.75" customHeight="1">
      <c r="A70" s="901" t="s">
        <v>764</v>
      </c>
      <c r="B70" s="918" t="s">
        <v>943</v>
      </c>
      <c r="C70" s="717">
        <v>4</v>
      </c>
      <c r="D70" s="717">
        <v>1</v>
      </c>
      <c r="E70" s="717">
        <v>1</v>
      </c>
      <c r="F70" s="717">
        <v>1</v>
      </c>
      <c r="G70" s="715">
        <v>36</v>
      </c>
      <c r="H70" s="978">
        <f t="shared" si="7"/>
        <v>144</v>
      </c>
      <c r="I70" s="966">
        <f t="shared" si="8"/>
        <v>66</v>
      </c>
      <c r="J70" s="966">
        <f t="shared" si="6"/>
        <v>66</v>
      </c>
      <c r="K70" s="963">
        <v>0</v>
      </c>
      <c r="L70" s="963">
        <v>0</v>
      </c>
      <c r="M70" s="961"/>
      <c r="N70" s="961"/>
      <c r="O70" s="961"/>
      <c r="P70" s="961"/>
      <c r="Q70" s="961"/>
      <c r="R70" s="962"/>
      <c r="S70" s="44"/>
      <c r="T70" s="44"/>
      <c r="U70" s="44"/>
      <c r="V70" s="44"/>
    </row>
    <row r="71" spans="1:22" s="493" customFormat="1" ht="15.75" customHeight="1">
      <c r="A71" s="901" t="s">
        <v>766</v>
      </c>
      <c r="B71" s="918" t="s">
        <v>944</v>
      </c>
      <c r="C71" s="715">
        <v>4</v>
      </c>
      <c r="D71" s="717">
        <v>1</v>
      </c>
      <c r="E71" s="717">
        <v>1</v>
      </c>
      <c r="F71" s="717">
        <v>1</v>
      </c>
      <c r="G71" s="715">
        <v>36</v>
      </c>
      <c r="H71" s="978">
        <f t="shared" si="7"/>
        <v>144</v>
      </c>
      <c r="I71" s="966">
        <f t="shared" si="8"/>
        <v>66</v>
      </c>
      <c r="J71" s="966">
        <f t="shared" si="6"/>
        <v>66</v>
      </c>
      <c r="K71" s="963">
        <v>0</v>
      </c>
      <c r="L71" s="963">
        <v>0</v>
      </c>
      <c r="M71" s="961"/>
      <c r="N71" s="961"/>
      <c r="O71" s="961"/>
      <c r="P71" s="961"/>
      <c r="Q71" s="961"/>
      <c r="R71" s="962"/>
      <c r="S71" s="44"/>
      <c r="T71" s="44"/>
      <c r="U71" s="44"/>
      <c r="V71" s="44"/>
    </row>
    <row r="72" spans="1:22" s="493" customFormat="1" ht="15.75" customHeight="1">
      <c r="A72" s="901" t="s">
        <v>768</v>
      </c>
      <c r="B72" s="918" t="s">
        <v>952</v>
      </c>
      <c r="C72" s="715">
        <v>3</v>
      </c>
      <c r="D72" s="717">
        <v>1</v>
      </c>
      <c r="E72" s="717">
        <v>1</v>
      </c>
      <c r="F72" s="717">
        <v>1</v>
      </c>
      <c r="G72" s="715">
        <v>43</v>
      </c>
      <c r="H72" s="978">
        <f t="shared" si="7"/>
        <v>129</v>
      </c>
      <c r="I72" s="966">
        <f t="shared" si="8"/>
        <v>49.5</v>
      </c>
      <c r="J72" s="966">
        <f t="shared" si="6"/>
        <v>49.5</v>
      </c>
      <c r="K72" s="963">
        <v>0</v>
      </c>
      <c r="L72" s="963">
        <v>0</v>
      </c>
      <c r="M72" s="961"/>
      <c r="N72" s="961"/>
      <c r="O72" s="961"/>
      <c r="P72" s="961"/>
      <c r="Q72" s="961"/>
      <c r="R72" s="962"/>
      <c r="S72" s="44"/>
      <c r="T72" s="44"/>
      <c r="U72" s="44"/>
      <c r="V72" s="44"/>
    </row>
    <row r="73" spans="1:22" s="493" customFormat="1" ht="21" customHeight="1">
      <c r="A73" s="901" t="s">
        <v>770</v>
      </c>
      <c r="B73" s="918" t="s">
        <v>953</v>
      </c>
      <c r="C73" s="715">
        <v>4</v>
      </c>
      <c r="D73" s="717">
        <v>1</v>
      </c>
      <c r="E73" s="717">
        <v>1</v>
      </c>
      <c r="F73" s="717">
        <v>1</v>
      </c>
      <c r="G73" s="715">
        <v>43</v>
      </c>
      <c r="H73" s="978">
        <f t="shared" si="7"/>
        <v>172</v>
      </c>
      <c r="I73" s="966">
        <f>3*E73*F73*16.5+1*E73*F73*15</f>
        <v>64.5</v>
      </c>
      <c r="J73" s="966">
        <f t="shared" si="6"/>
        <v>64.5</v>
      </c>
      <c r="K73" s="963">
        <v>0</v>
      </c>
      <c r="L73" s="963">
        <v>0</v>
      </c>
      <c r="M73" s="961"/>
      <c r="N73" s="961"/>
      <c r="O73" s="961"/>
      <c r="P73" s="961"/>
      <c r="Q73" s="961"/>
      <c r="R73" s="962"/>
      <c r="S73" s="44"/>
      <c r="T73" s="44"/>
      <c r="U73" s="44"/>
      <c r="V73" s="44"/>
    </row>
    <row r="74" spans="1:22" s="493" customFormat="1" ht="15.75" customHeight="1">
      <c r="A74" s="901" t="s">
        <v>771</v>
      </c>
      <c r="B74" s="918" t="s">
        <v>958</v>
      </c>
      <c r="C74" s="715">
        <v>4</v>
      </c>
      <c r="D74" s="717">
        <v>1</v>
      </c>
      <c r="E74" s="717">
        <v>1</v>
      </c>
      <c r="F74" s="717">
        <v>1</v>
      </c>
      <c r="G74" s="715">
        <v>11</v>
      </c>
      <c r="H74" s="978">
        <f t="shared" si="7"/>
        <v>44</v>
      </c>
      <c r="I74" s="966">
        <f t="shared" si="8"/>
        <v>66</v>
      </c>
      <c r="J74" s="966">
        <f t="shared" si="6"/>
        <v>66</v>
      </c>
      <c r="K74" s="963">
        <v>0</v>
      </c>
      <c r="L74" s="963">
        <v>0</v>
      </c>
      <c r="M74" s="961"/>
      <c r="N74" s="961"/>
      <c r="O74" s="961"/>
      <c r="P74" s="961"/>
      <c r="Q74" s="961"/>
      <c r="R74" s="962"/>
      <c r="S74" s="44"/>
      <c r="T74" s="44"/>
      <c r="U74" s="44"/>
      <c r="V74" s="44"/>
    </row>
    <row r="75" spans="1:22" s="493" customFormat="1" ht="15.75" customHeight="1">
      <c r="A75" s="901" t="s">
        <v>772</v>
      </c>
      <c r="B75" s="918" t="s">
        <v>959</v>
      </c>
      <c r="C75" s="715">
        <v>4</v>
      </c>
      <c r="D75" s="717">
        <v>1</v>
      </c>
      <c r="E75" s="717">
        <v>1</v>
      </c>
      <c r="F75" s="717">
        <v>1</v>
      </c>
      <c r="G75" s="715">
        <v>11</v>
      </c>
      <c r="H75" s="978">
        <f t="shared" si="7"/>
        <v>44</v>
      </c>
      <c r="I75" s="966">
        <f t="shared" si="8"/>
        <v>66</v>
      </c>
      <c r="J75" s="966">
        <f t="shared" si="6"/>
        <v>66</v>
      </c>
      <c r="K75" s="963">
        <v>0</v>
      </c>
      <c r="L75" s="963">
        <v>0</v>
      </c>
      <c r="M75" s="961"/>
      <c r="N75" s="961"/>
      <c r="O75" s="961"/>
      <c r="P75" s="961"/>
      <c r="Q75" s="961"/>
      <c r="R75" s="962"/>
      <c r="S75" s="44"/>
      <c r="T75" s="44"/>
      <c r="U75" s="44"/>
      <c r="V75" s="44"/>
    </row>
    <row r="76" spans="1:22" s="493" customFormat="1" ht="15.75" customHeight="1">
      <c r="A76" s="901" t="s">
        <v>774</v>
      </c>
      <c r="B76" s="918" t="s">
        <v>960</v>
      </c>
      <c r="C76" s="715">
        <v>4</v>
      </c>
      <c r="D76" s="717">
        <v>1</v>
      </c>
      <c r="E76" s="717">
        <v>1</v>
      </c>
      <c r="F76" s="717">
        <v>1</v>
      </c>
      <c r="G76" s="715">
        <v>11</v>
      </c>
      <c r="H76" s="978">
        <f t="shared" si="7"/>
        <v>44</v>
      </c>
      <c r="I76" s="966">
        <f t="shared" si="8"/>
        <v>66</v>
      </c>
      <c r="J76" s="966">
        <f t="shared" si="6"/>
        <v>66</v>
      </c>
      <c r="K76" s="963">
        <v>0</v>
      </c>
      <c r="L76" s="963">
        <v>0</v>
      </c>
      <c r="M76" s="961"/>
      <c r="N76" s="961"/>
      <c r="O76" s="961"/>
      <c r="P76" s="961"/>
      <c r="Q76" s="961"/>
      <c r="R76" s="962"/>
      <c r="S76" s="44"/>
      <c r="T76" s="44"/>
      <c r="U76" s="44"/>
      <c r="V76" s="44"/>
    </row>
    <row r="77" spans="1:22" s="493" customFormat="1" ht="15.75" customHeight="1">
      <c r="A77" s="901" t="s">
        <v>775</v>
      </c>
      <c r="B77" s="918" t="s">
        <v>966</v>
      </c>
      <c r="C77" s="715">
        <v>4</v>
      </c>
      <c r="D77" s="717">
        <v>1</v>
      </c>
      <c r="E77" s="717">
        <v>1</v>
      </c>
      <c r="F77" s="717">
        <v>1</v>
      </c>
      <c r="G77" s="715">
        <v>9</v>
      </c>
      <c r="H77" s="978">
        <f t="shared" si="7"/>
        <v>36</v>
      </c>
      <c r="I77" s="966">
        <f t="shared" si="8"/>
        <v>66</v>
      </c>
      <c r="J77" s="966">
        <f t="shared" si="6"/>
        <v>66</v>
      </c>
      <c r="K77" s="963">
        <v>0</v>
      </c>
      <c r="L77" s="963">
        <v>0</v>
      </c>
      <c r="M77" s="961"/>
      <c r="N77" s="961"/>
      <c r="O77" s="961"/>
      <c r="P77" s="961"/>
      <c r="Q77" s="961"/>
      <c r="R77" s="962"/>
      <c r="S77" s="44"/>
      <c r="T77" s="44"/>
      <c r="U77" s="44"/>
      <c r="V77" s="44"/>
    </row>
    <row r="78" spans="1:22" s="493" customFormat="1" ht="15.75" customHeight="1">
      <c r="A78" s="901" t="s">
        <v>776</v>
      </c>
      <c r="B78" s="918" t="s">
        <v>967</v>
      </c>
      <c r="C78" s="715">
        <v>4</v>
      </c>
      <c r="D78" s="717">
        <v>1</v>
      </c>
      <c r="E78" s="717">
        <v>1</v>
      </c>
      <c r="F78" s="717">
        <v>1</v>
      </c>
      <c r="G78" s="715">
        <v>9</v>
      </c>
      <c r="H78" s="978">
        <f t="shared" si="7"/>
        <v>36</v>
      </c>
      <c r="I78" s="966">
        <f t="shared" si="8"/>
        <v>66</v>
      </c>
      <c r="J78" s="966">
        <f t="shared" si="6"/>
        <v>66</v>
      </c>
      <c r="K78" s="963">
        <v>0</v>
      </c>
      <c r="L78" s="963">
        <v>0</v>
      </c>
      <c r="M78" s="961"/>
      <c r="N78" s="961"/>
      <c r="O78" s="961"/>
      <c r="P78" s="961"/>
      <c r="Q78" s="961"/>
      <c r="R78" s="962"/>
      <c r="S78" s="44"/>
      <c r="T78" s="44"/>
      <c r="U78" s="44"/>
      <c r="V78" s="44"/>
    </row>
    <row r="79" spans="1:22" s="493" customFormat="1" ht="15.75" customHeight="1">
      <c r="A79" s="901" t="s">
        <v>778</v>
      </c>
      <c r="B79" s="918" t="s">
        <v>968</v>
      </c>
      <c r="C79" s="715">
        <v>4</v>
      </c>
      <c r="D79" s="717">
        <v>1</v>
      </c>
      <c r="E79" s="717">
        <v>1</v>
      </c>
      <c r="F79" s="717">
        <v>1</v>
      </c>
      <c r="G79" s="715">
        <v>9</v>
      </c>
      <c r="H79" s="978">
        <f t="shared" si="7"/>
        <v>36</v>
      </c>
      <c r="I79" s="966">
        <f t="shared" si="8"/>
        <v>66</v>
      </c>
      <c r="J79" s="966">
        <f t="shared" si="6"/>
        <v>66</v>
      </c>
      <c r="K79" s="963">
        <v>0</v>
      </c>
      <c r="L79" s="963">
        <v>0</v>
      </c>
      <c r="M79" s="961"/>
      <c r="N79" s="961"/>
      <c r="O79" s="961"/>
      <c r="P79" s="961"/>
      <c r="Q79" s="961"/>
      <c r="R79" s="962"/>
      <c r="S79" s="44"/>
      <c r="T79" s="44"/>
      <c r="U79" s="44"/>
      <c r="V79" s="44"/>
    </row>
    <row r="80" spans="1:22" s="493" customFormat="1" ht="15.75" customHeight="1">
      <c r="A80" s="901" t="s">
        <v>780</v>
      </c>
      <c r="B80" s="918" t="s">
        <v>952</v>
      </c>
      <c r="C80" s="715">
        <v>3</v>
      </c>
      <c r="D80" s="717">
        <v>1</v>
      </c>
      <c r="E80" s="717">
        <v>1</v>
      </c>
      <c r="F80" s="717">
        <v>1</v>
      </c>
      <c r="G80" s="715">
        <v>11</v>
      </c>
      <c r="H80" s="978">
        <f t="shared" si="7"/>
        <v>33</v>
      </c>
      <c r="I80" s="966">
        <f t="shared" si="8"/>
        <v>49.5</v>
      </c>
      <c r="J80" s="966">
        <f t="shared" si="6"/>
        <v>49.5</v>
      </c>
      <c r="K80" s="963">
        <v>0</v>
      </c>
      <c r="L80" s="963">
        <v>0</v>
      </c>
      <c r="M80" s="961"/>
      <c r="N80" s="961"/>
      <c r="O80" s="961"/>
      <c r="P80" s="961"/>
      <c r="Q80" s="961"/>
      <c r="R80" s="962"/>
      <c r="S80" s="44"/>
      <c r="T80" s="44"/>
      <c r="U80" s="44"/>
      <c r="V80" s="44"/>
    </row>
    <row r="81" spans="1:22" s="493" customFormat="1" ht="15.75" customHeight="1">
      <c r="A81" s="901" t="s">
        <v>782</v>
      </c>
      <c r="B81" s="915" t="s">
        <v>970</v>
      </c>
      <c r="C81" s="717">
        <v>3</v>
      </c>
      <c r="D81" s="717">
        <v>1</v>
      </c>
      <c r="E81" s="717">
        <v>1</v>
      </c>
      <c r="F81" s="717">
        <v>1</v>
      </c>
      <c r="G81" s="715">
        <v>11</v>
      </c>
      <c r="H81" s="978">
        <f t="shared" si="7"/>
        <v>33</v>
      </c>
      <c r="I81" s="966">
        <f>2*E81*F81*16.5+1*E81*F81*15</f>
        <v>48</v>
      </c>
      <c r="J81" s="966">
        <f t="shared" si="6"/>
        <v>48</v>
      </c>
      <c r="K81" s="963">
        <v>0</v>
      </c>
      <c r="L81" s="963">
        <v>0</v>
      </c>
      <c r="M81" s="961"/>
      <c r="N81" s="961"/>
      <c r="O81" s="961"/>
      <c r="P81" s="961"/>
      <c r="Q81" s="961"/>
      <c r="R81" s="962"/>
      <c r="S81" s="44"/>
      <c r="T81" s="44"/>
      <c r="U81" s="44"/>
      <c r="V81" s="44"/>
    </row>
    <row r="82" spans="1:22" s="493" customFormat="1" ht="15.75" customHeight="1">
      <c r="A82" s="901" t="s">
        <v>784</v>
      </c>
      <c r="B82" s="902" t="s">
        <v>972</v>
      </c>
      <c r="C82" s="717">
        <v>2</v>
      </c>
      <c r="D82" s="717">
        <v>1</v>
      </c>
      <c r="E82" s="717">
        <v>15</v>
      </c>
      <c r="F82" s="717">
        <v>1</v>
      </c>
      <c r="G82" s="717">
        <v>60</v>
      </c>
      <c r="H82" s="978">
        <v>120</v>
      </c>
      <c r="I82" s="966">
        <v>495</v>
      </c>
      <c r="J82" s="966">
        <v>495</v>
      </c>
      <c r="K82" s="963">
        <v>0</v>
      </c>
      <c r="L82" s="963">
        <v>0</v>
      </c>
      <c r="M82" s="961"/>
      <c r="N82" s="961"/>
      <c r="O82" s="961"/>
      <c r="P82" s="961"/>
      <c r="Q82" s="961"/>
      <c r="R82" s="962"/>
      <c r="S82" s="44"/>
      <c r="T82" s="44"/>
      <c r="U82" s="44"/>
      <c r="V82" s="44"/>
    </row>
    <row r="83" spans="1:22" s="987" customFormat="1" ht="15.75" customHeight="1">
      <c r="A83" s="932" t="s">
        <v>161</v>
      </c>
      <c r="B83" s="905" t="s">
        <v>1401</v>
      </c>
      <c r="C83" s="982">
        <f>SUM(C84:C88)</f>
        <v>17</v>
      </c>
      <c r="D83" s="982"/>
      <c r="E83" s="982">
        <f t="shared" ref="E83:L83" si="20">SUM(E84:E88)</f>
        <v>5</v>
      </c>
      <c r="F83" s="982"/>
      <c r="G83" s="982"/>
      <c r="H83" s="983">
        <f t="shared" si="20"/>
        <v>393.90000000000009</v>
      </c>
      <c r="I83" s="983">
        <f t="shared" si="20"/>
        <v>415.8</v>
      </c>
      <c r="J83" s="983">
        <f t="shared" si="20"/>
        <v>415.8</v>
      </c>
      <c r="K83" s="984">
        <f t="shared" si="20"/>
        <v>0</v>
      </c>
      <c r="L83" s="984">
        <f t="shared" si="20"/>
        <v>0</v>
      </c>
      <c r="M83" s="985"/>
      <c r="N83" s="985"/>
      <c r="O83" s="985"/>
      <c r="P83" s="985"/>
      <c r="Q83" s="985"/>
      <c r="R83" s="986"/>
      <c r="S83" s="495"/>
      <c r="T83" s="495"/>
      <c r="U83" s="495"/>
      <c r="V83" s="495"/>
    </row>
    <row r="84" spans="1:22" s="493" customFormat="1" ht="15.75" customHeight="1">
      <c r="A84" s="908" t="s">
        <v>163</v>
      </c>
      <c r="B84" s="902" t="s">
        <v>974</v>
      </c>
      <c r="C84" s="717">
        <v>4</v>
      </c>
      <c r="D84" s="717">
        <v>1.3</v>
      </c>
      <c r="E84" s="717">
        <v>1</v>
      </c>
      <c r="F84" s="717">
        <v>1</v>
      </c>
      <c r="G84" s="717">
        <v>27</v>
      </c>
      <c r="H84" s="978">
        <f>C84*D84*G84</f>
        <v>140.4</v>
      </c>
      <c r="I84" s="966">
        <f>C84*D84*G84</f>
        <v>140.4</v>
      </c>
      <c r="J84" s="966">
        <f t="shared" ref="J84:J85" si="21">I84</f>
        <v>140.4</v>
      </c>
      <c r="K84" s="963">
        <v>0</v>
      </c>
      <c r="L84" s="963">
        <v>0</v>
      </c>
      <c r="M84" s="964"/>
      <c r="N84" s="964"/>
      <c r="O84" s="964"/>
      <c r="P84" s="964"/>
      <c r="Q84" s="964"/>
      <c r="R84" s="965"/>
      <c r="S84" s="44"/>
      <c r="T84" s="44"/>
      <c r="U84" s="44"/>
      <c r="V84" s="44"/>
    </row>
    <row r="85" spans="1:22" s="493" customFormat="1" ht="15.75" customHeight="1">
      <c r="A85" s="908" t="s">
        <v>164</v>
      </c>
      <c r="B85" s="902" t="s">
        <v>975</v>
      </c>
      <c r="C85" s="717">
        <v>4</v>
      </c>
      <c r="D85" s="717">
        <v>1.3</v>
      </c>
      <c r="E85" s="717">
        <v>1</v>
      </c>
      <c r="F85" s="717">
        <v>1</v>
      </c>
      <c r="G85" s="717">
        <v>27</v>
      </c>
      <c r="H85" s="978">
        <f>C85*D85*G85</f>
        <v>140.4</v>
      </c>
      <c r="I85" s="966">
        <f>C85*D85*G85</f>
        <v>140.4</v>
      </c>
      <c r="J85" s="966">
        <f t="shared" si="21"/>
        <v>140.4</v>
      </c>
      <c r="K85" s="963">
        <v>0</v>
      </c>
      <c r="L85" s="963">
        <v>0</v>
      </c>
      <c r="M85" s="964"/>
      <c r="N85" s="964"/>
      <c r="O85" s="964"/>
      <c r="P85" s="964"/>
      <c r="Q85" s="964"/>
      <c r="R85" s="965"/>
      <c r="S85" s="44"/>
      <c r="T85" s="44"/>
      <c r="U85" s="44"/>
      <c r="V85" s="44"/>
    </row>
    <row r="86" spans="1:22" s="493" customFormat="1" ht="15.75" customHeight="1">
      <c r="A86" s="908" t="s">
        <v>165</v>
      </c>
      <c r="B86" s="902" t="s">
        <v>984</v>
      </c>
      <c r="C86" s="717">
        <v>3</v>
      </c>
      <c r="D86" s="717">
        <v>1.3</v>
      </c>
      <c r="E86" s="717">
        <v>1</v>
      </c>
      <c r="F86" s="717">
        <v>1</v>
      </c>
      <c r="G86" s="717">
        <v>11</v>
      </c>
      <c r="H86" s="978">
        <f t="shared" ref="H86:H88" si="22">C86*D86*G86</f>
        <v>42.900000000000006</v>
      </c>
      <c r="I86" s="966">
        <f t="shared" ref="I86:I88" si="23">C86*E86*F86*15</f>
        <v>45</v>
      </c>
      <c r="J86" s="966">
        <f t="shared" ref="J86:J117" si="24">I86</f>
        <v>45</v>
      </c>
      <c r="K86" s="963">
        <v>0</v>
      </c>
      <c r="L86" s="963">
        <v>0</v>
      </c>
      <c r="M86" s="964"/>
      <c r="N86" s="964"/>
      <c r="O86" s="964"/>
      <c r="P86" s="964"/>
      <c r="Q86" s="964"/>
      <c r="R86" s="965"/>
      <c r="S86" s="44"/>
      <c r="T86" s="44"/>
      <c r="U86" s="44"/>
      <c r="V86" s="44"/>
    </row>
    <row r="87" spans="1:22" s="493" customFormat="1" ht="15.75" customHeight="1">
      <c r="A87" s="908" t="s">
        <v>166</v>
      </c>
      <c r="B87" s="902" t="s">
        <v>986</v>
      </c>
      <c r="C87" s="717">
        <v>3</v>
      </c>
      <c r="D87" s="717">
        <v>1.3</v>
      </c>
      <c r="E87" s="717">
        <v>1</v>
      </c>
      <c r="F87" s="717">
        <v>1</v>
      </c>
      <c r="G87" s="717">
        <v>9</v>
      </c>
      <c r="H87" s="978">
        <f t="shared" si="22"/>
        <v>35.1</v>
      </c>
      <c r="I87" s="966">
        <f t="shared" si="23"/>
        <v>45</v>
      </c>
      <c r="J87" s="966">
        <f t="shared" si="24"/>
        <v>45</v>
      </c>
      <c r="K87" s="963">
        <v>0</v>
      </c>
      <c r="L87" s="963">
        <v>0</v>
      </c>
      <c r="M87" s="964"/>
      <c r="N87" s="964"/>
      <c r="O87" s="964"/>
      <c r="P87" s="964"/>
      <c r="Q87" s="964"/>
      <c r="R87" s="965"/>
      <c r="S87" s="44"/>
      <c r="T87" s="44"/>
      <c r="U87" s="44"/>
      <c r="V87" s="44"/>
    </row>
    <row r="88" spans="1:22" s="493" customFormat="1" ht="15.75" customHeight="1">
      <c r="A88" s="908" t="s">
        <v>168</v>
      </c>
      <c r="B88" s="902" t="s">
        <v>988</v>
      </c>
      <c r="C88" s="717">
        <v>3</v>
      </c>
      <c r="D88" s="717">
        <v>1.3</v>
      </c>
      <c r="E88" s="717">
        <v>1</v>
      </c>
      <c r="F88" s="717">
        <v>1</v>
      </c>
      <c r="G88" s="717">
        <v>9</v>
      </c>
      <c r="H88" s="978">
        <f t="shared" si="22"/>
        <v>35.1</v>
      </c>
      <c r="I88" s="966">
        <f t="shared" si="23"/>
        <v>45</v>
      </c>
      <c r="J88" s="966">
        <f t="shared" si="24"/>
        <v>45</v>
      </c>
      <c r="K88" s="963">
        <v>0</v>
      </c>
      <c r="L88" s="963">
        <v>0</v>
      </c>
      <c r="M88" s="964"/>
      <c r="N88" s="964"/>
      <c r="O88" s="964"/>
      <c r="P88" s="964"/>
      <c r="Q88" s="964"/>
      <c r="R88" s="965"/>
      <c r="S88" s="44"/>
      <c r="T88" s="44"/>
      <c r="U88" s="44"/>
      <c r="V88" s="44"/>
    </row>
    <row r="89" spans="1:22" s="493" customFormat="1" ht="15.75" customHeight="1">
      <c r="A89" s="882">
        <v>2</v>
      </c>
      <c r="B89" s="707" t="s">
        <v>523</v>
      </c>
      <c r="C89" s="710">
        <f>C90+C92</f>
        <v>14</v>
      </c>
      <c r="D89" s="710">
        <f t="shared" ref="D89:L89" si="25">D90+D92</f>
        <v>4.4000000000000004</v>
      </c>
      <c r="E89" s="710">
        <f t="shared" si="25"/>
        <v>4</v>
      </c>
      <c r="F89" s="710">
        <f t="shared" si="25"/>
        <v>4</v>
      </c>
      <c r="G89" s="710">
        <f t="shared" si="25"/>
        <v>63</v>
      </c>
      <c r="H89" s="979">
        <f t="shared" si="25"/>
        <v>201</v>
      </c>
      <c r="I89" s="979">
        <f t="shared" si="25"/>
        <v>148.5</v>
      </c>
      <c r="J89" s="979">
        <f t="shared" si="25"/>
        <v>148.5</v>
      </c>
      <c r="K89" s="981">
        <f t="shared" si="25"/>
        <v>0</v>
      </c>
      <c r="L89" s="981">
        <f t="shared" si="25"/>
        <v>0</v>
      </c>
      <c r="M89" s="975"/>
      <c r="N89" s="975"/>
      <c r="O89" s="975"/>
      <c r="P89" s="975"/>
      <c r="Q89" s="975"/>
      <c r="R89" s="976"/>
      <c r="S89" s="44"/>
      <c r="T89" s="44"/>
      <c r="U89" s="44"/>
      <c r="V89" s="44"/>
    </row>
    <row r="90" spans="1:22" s="987" customFormat="1" ht="15.75" customHeight="1">
      <c r="A90" s="895" t="s">
        <v>1402</v>
      </c>
      <c r="B90" s="896" t="s">
        <v>1386</v>
      </c>
      <c r="C90" s="988">
        <f>SUM(C91)</f>
        <v>5</v>
      </c>
      <c r="D90" s="988">
        <f t="shared" ref="D90:L90" si="26">SUM(D91)</f>
        <v>1.4</v>
      </c>
      <c r="E90" s="988">
        <f t="shared" si="26"/>
        <v>1</v>
      </c>
      <c r="F90" s="988">
        <f t="shared" si="26"/>
        <v>1</v>
      </c>
      <c r="G90" s="988">
        <f t="shared" si="26"/>
        <v>3</v>
      </c>
      <c r="H90" s="989">
        <f t="shared" si="26"/>
        <v>21</v>
      </c>
      <c r="I90" s="989">
        <f t="shared" si="26"/>
        <v>0</v>
      </c>
      <c r="J90" s="989">
        <f t="shared" si="26"/>
        <v>0</v>
      </c>
      <c r="K90" s="990">
        <f t="shared" si="26"/>
        <v>0</v>
      </c>
      <c r="L90" s="990">
        <f t="shared" si="26"/>
        <v>0</v>
      </c>
      <c r="M90" s="985"/>
      <c r="N90" s="985"/>
      <c r="O90" s="985"/>
      <c r="P90" s="985"/>
      <c r="Q90" s="985"/>
      <c r="R90" s="986"/>
      <c r="S90" s="495"/>
      <c r="T90" s="495"/>
      <c r="U90" s="495"/>
      <c r="V90" s="495"/>
    </row>
    <row r="91" spans="1:22" s="992" customFormat="1" ht="15.75" customHeight="1">
      <c r="A91" s="991"/>
      <c r="B91" s="902" t="s">
        <v>170</v>
      </c>
      <c r="C91" s="715">
        <v>5</v>
      </c>
      <c r="D91" s="715">
        <v>1.4</v>
      </c>
      <c r="E91" s="715">
        <v>1</v>
      </c>
      <c r="F91" s="715">
        <v>1</v>
      </c>
      <c r="G91" s="715">
        <v>3</v>
      </c>
      <c r="H91" s="966">
        <f>C91*D91*G91</f>
        <v>21</v>
      </c>
      <c r="I91" s="966">
        <v>0</v>
      </c>
      <c r="J91" s="966">
        <v>0</v>
      </c>
      <c r="K91" s="963"/>
      <c r="L91" s="963"/>
      <c r="M91" s="964"/>
      <c r="N91" s="964"/>
      <c r="O91" s="964"/>
      <c r="P91" s="964"/>
      <c r="Q91" s="964"/>
      <c r="R91" s="965"/>
      <c r="S91" s="47"/>
      <c r="T91" s="47"/>
      <c r="U91" s="47"/>
      <c r="V91" s="47"/>
    </row>
    <row r="92" spans="1:22" s="493" customFormat="1" ht="17.149999999999999" customHeight="1">
      <c r="A92" s="993" t="s">
        <v>1377</v>
      </c>
      <c r="B92" s="921" t="s">
        <v>1381</v>
      </c>
      <c r="C92" s="715">
        <f>SUM(C93:C95)</f>
        <v>9</v>
      </c>
      <c r="D92" s="715">
        <f t="shared" ref="D92:L92" si="27">SUM(D93:D95)</f>
        <v>3</v>
      </c>
      <c r="E92" s="715">
        <f t="shared" si="27"/>
        <v>3</v>
      </c>
      <c r="F92" s="715">
        <f t="shared" si="27"/>
        <v>3</v>
      </c>
      <c r="G92" s="715">
        <f t="shared" si="27"/>
        <v>60</v>
      </c>
      <c r="H92" s="966">
        <f t="shared" si="27"/>
        <v>180</v>
      </c>
      <c r="I92" s="966">
        <f t="shared" si="27"/>
        <v>148.5</v>
      </c>
      <c r="J92" s="966">
        <f t="shared" si="27"/>
        <v>148.5</v>
      </c>
      <c r="K92" s="963">
        <f t="shared" si="27"/>
        <v>0</v>
      </c>
      <c r="L92" s="963">
        <f t="shared" si="27"/>
        <v>0</v>
      </c>
      <c r="M92" s="964"/>
      <c r="N92" s="964"/>
      <c r="O92" s="964"/>
      <c r="P92" s="964"/>
      <c r="Q92" s="964"/>
      <c r="R92" s="965"/>
      <c r="S92" s="44"/>
      <c r="T92" s="44"/>
      <c r="U92" s="44"/>
      <c r="V92" s="44"/>
    </row>
    <row r="93" spans="1:22" s="493" customFormat="1" ht="15.75" customHeight="1">
      <c r="A93" s="901" t="s">
        <v>155</v>
      </c>
      <c r="B93" s="994" t="s">
        <v>989</v>
      </c>
      <c r="C93" s="715">
        <v>3</v>
      </c>
      <c r="D93" s="715">
        <v>1</v>
      </c>
      <c r="E93" s="715">
        <v>1</v>
      </c>
      <c r="F93" s="715">
        <v>1</v>
      </c>
      <c r="G93" s="715">
        <v>20</v>
      </c>
      <c r="H93" s="966">
        <f>C93*D93*G93</f>
        <v>60</v>
      </c>
      <c r="I93" s="966">
        <f>C93*E93*F93*16.5</f>
        <v>49.5</v>
      </c>
      <c r="J93" s="966">
        <f t="shared" ref="J93" si="28">I93</f>
        <v>49.5</v>
      </c>
      <c r="K93" s="963">
        <v>0</v>
      </c>
      <c r="L93" s="963">
        <v>0</v>
      </c>
      <c r="M93" s="964"/>
      <c r="N93" s="964"/>
      <c r="O93" s="964"/>
      <c r="P93" s="964"/>
      <c r="Q93" s="964"/>
      <c r="R93" s="965"/>
      <c r="S93" s="44"/>
      <c r="T93" s="44"/>
      <c r="U93" s="44"/>
      <c r="V93" s="44"/>
    </row>
    <row r="94" spans="1:22" s="493" customFormat="1" ht="15.75" customHeight="1">
      <c r="A94" s="901" t="s">
        <v>156</v>
      </c>
      <c r="B94" s="994" t="s">
        <v>989</v>
      </c>
      <c r="C94" s="715">
        <v>3</v>
      </c>
      <c r="D94" s="715">
        <v>1</v>
      </c>
      <c r="E94" s="715">
        <v>1</v>
      </c>
      <c r="F94" s="715">
        <v>1</v>
      </c>
      <c r="G94" s="715">
        <v>20</v>
      </c>
      <c r="H94" s="966">
        <f t="shared" ref="H94:H95" si="29">C94*D94*G94</f>
        <v>60</v>
      </c>
      <c r="I94" s="966">
        <f t="shared" ref="I94:I95" si="30">C94*E94*F94*16.5</f>
        <v>49.5</v>
      </c>
      <c r="J94" s="966">
        <f t="shared" si="24"/>
        <v>49.5</v>
      </c>
      <c r="K94" s="963">
        <v>0</v>
      </c>
      <c r="L94" s="963">
        <v>0</v>
      </c>
      <c r="M94" s="964"/>
      <c r="N94" s="964"/>
      <c r="O94" s="964"/>
      <c r="P94" s="964"/>
      <c r="Q94" s="964"/>
      <c r="R94" s="965"/>
      <c r="S94" s="44"/>
      <c r="T94" s="44"/>
      <c r="U94" s="44"/>
      <c r="V94" s="44"/>
    </row>
    <row r="95" spans="1:22" s="493" customFormat="1" ht="15.75" customHeight="1">
      <c r="A95" s="901" t="s">
        <v>157</v>
      </c>
      <c r="B95" s="995" t="s">
        <v>990</v>
      </c>
      <c r="C95" s="715">
        <v>3</v>
      </c>
      <c r="D95" s="715">
        <v>1</v>
      </c>
      <c r="E95" s="715">
        <v>1</v>
      </c>
      <c r="F95" s="715">
        <v>1</v>
      </c>
      <c r="G95" s="715">
        <v>20</v>
      </c>
      <c r="H95" s="966">
        <f t="shared" si="29"/>
        <v>60</v>
      </c>
      <c r="I95" s="966">
        <f t="shared" si="30"/>
        <v>49.5</v>
      </c>
      <c r="J95" s="966">
        <f t="shared" si="24"/>
        <v>49.5</v>
      </c>
      <c r="K95" s="963">
        <v>0</v>
      </c>
      <c r="L95" s="963">
        <v>0</v>
      </c>
      <c r="M95" s="964"/>
      <c r="N95" s="964"/>
      <c r="O95" s="964"/>
      <c r="P95" s="964"/>
      <c r="Q95" s="964"/>
      <c r="R95" s="965"/>
      <c r="S95" s="44"/>
      <c r="T95" s="44"/>
      <c r="U95" s="44"/>
      <c r="V95" s="44"/>
    </row>
    <row r="96" spans="1:22" s="493" customFormat="1" ht="21.9" customHeight="1">
      <c r="A96" s="882" t="s">
        <v>41</v>
      </c>
      <c r="B96" s="707" t="s">
        <v>175</v>
      </c>
      <c r="C96" s="709">
        <f>C97</f>
        <v>63</v>
      </c>
      <c r="D96" s="709">
        <f t="shared" ref="D96:L96" si="31">D97</f>
        <v>0</v>
      </c>
      <c r="E96" s="709">
        <f t="shared" si="31"/>
        <v>18</v>
      </c>
      <c r="F96" s="709">
        <f t="shared" si="31"/>
        <v>0</v>
      </c>
      <c r="G96" s="709">
        <f t="shared" si="31"/>
        <v>0</v>
      </c>
      <c r="H96" s="977">
        <f t="shared" si="31"/>
        <v>2415</v>
      </c>
      <c r="I96" s="977">
        <f t="shared" si="31"/>
        <v>1039.5</v>
      </c>
      <c r="J96" s="977">
        <f t="shared" si="31"/>
        <v>1039.5</v>
      </c>
      <c r="K96" s="996">
        <f t="shared" si="31"/>
        <v>0</v>
      </c>
      <c r="L96" s="996">
        <f t="shared" si="31"/>
        <v>0</v>
      </c>
      <c r="M96" s="975"/>
      <c r="N96" s="975"/>
      <c r="O96" s="975"/>
      <c r="P96" s="975"/>
      <c r="Q96" s="975"/>
      <c r="R96" s="976"/>
      <c r="S96" s="44"/>
      <c r="T96" s="44"/>
      <c r="U96" s="44"/>
      <c r="V96" s="44"/>
    </row>
    <row r="97" spans="1:22" s="493" customFormat="1" ht="15.75" customHeight="1">
      <c r="A97" s="882">
        <v>1</v>
      </c>
      <c r="B97" s="921" t="s">
        <v>176</v>
      </c>
      <c r="C97" s="709">
        <f>C98+C113</f>
        <v>63</v>
      </c>
      <c r="D97" s="709">
        <f t="shared" ref="D97:L97" si="32">D98+D113</f>
        <v>0</v>
      </c>
      <c r="E97" s="709">
        <f t="shared" si="32"/>
        <v>18</v>
      </c>
      <c r="F97" s="709">
        <f t="shared" si="32"/>
        <v>0</v>
      </c>
      <c r="G97" s="709">
        <f t="shared" si="32"/>
        <v>0</v>
      </c>
      <c r="H97" s="977">
        <f t="shared" si="32"/>
        <v>2415</v>
      </c>
      <c r="I97" s="977">
        <f t="shared" si="32"/>
        <v>1039.5</v>
      </c>
      <c r="J97" s="977">
        <f t="shared" si="32"/>
        <v>1039.5</v>
      </c>
      <c r="K97" s="996">
        <f t="shared" si="32"/>
        <v>0</v>
      </c>
      <c r="L97" s="996">
        <f t="shared" si="32"/>
        <v>0</v>
      </c>
      <c r="M97" s="975"/>
      <c r="N97" s="975"/>
      <c r="O97" s="975"/>
      <c r="P97" s="975"/>
      <c r="Q97" s="975"/>
      <c r="R97" s="976"/>
      <c r="S97" s="44"/>
      <c r="T97" s="44"/>
      <c r="U97" s="44"/>
      <c r="V97" s="44"/>
    </row>
    <row r="98" spans="1:22" s="987" customFormat="1" ht="15" customHeight="1">
      <c r="A98" s="997" t="s">
        <v>21</v>
      </c>
      <c r="B98" s="896" t="s">
        <v>1386</v>
      </c>
      <c r="C98" s="988">
        <f>SUM(C99:C112)</f>
        <v>51</v>
      </c>
      <c r="D98" s="988"/>
      <c r="E98" s="988">
        <f t="shared" ref="E98:L98" si="33">SUM(E99:E112)</f>
        <v>14</v>
      </c>
      <c r="F98" s="988"/>
      <c r="G98" s="988"/>
      <c r="H98" s="989">
        <f t="shared" si="33"/>
        <v>1635</v>
      </c>
      <c r="I98" s="989">
        <f t="shared" si="33"/>
        <v>841.5</v>
      </c>
      <c r="J98" s="989">
        <f t="shared" si="33"/>
        <v>841.5</v>
      </c>
      <c r="K98" s="990">
        <f t="shared" si="33"/>
        <v>0</v>
      </c>
      <c r="L98" s="990">
        <f t="shared" si="33"/>
        <v>0</v>
      </c>
      <c r="M98" s="985"/>
      <c r="N98" s="985"/>
      <c r="O98" s="985"/>
      <c r="P98" s="985"/>
      <c r="Q98" s="985"/>
      <c r="R98" s="986"/>
      <c r="S98" s="495"/>
      <c r="T98" s="495"/>
      <c r="U98" s="495"/>
      <c r="V98" s="495"/>
    </row>
    <row r="99" spans="1:22" s="493" customFormat="1" ht="15.75" customHeight="1">
      <c r="A99" s="908" t="s">
        <v>155</v>
      </c>
      <c r="B99" s="918" t="s">
        <v>991</v>
      </c>
      <c r="C99" s="715">
        <v>3</v>
      </c>
      <c r="D99" s="715">
        <v>1</v>
      </c>
      <c r="E99" s="715">
        <v>1</v>
      </c>
      <c r="F99" s="715">
        <v>1</v>
      </c>
      <c r="G99" s="715">
        <v>65</v>
      </c>
      <c r="H99" s="966">
        <f>C99*D99*G99</f>
        <v>195</v>
      </c>
      <c r="I99" s="966">
        <f>C99*E99*F99*16.5</f>
        <v>49.5</v>
      </c>
      <c r="J99" s="966">
        <f t="shared" si="24"/>
        <v>49.5</v>
      </c>
      <c r="K99" s="963">
        <v>0</v>
      </c>
      <c r="L99" s="963">
        <v>0</v>
      </c>
      <c r="M99" s="968"/>
      <c r="N99" s="968"/>
      <c r="O99" s="968"/>
      <c r="P99" s="968"/>
      <c r="Q99" s="968"/>
      <c r="R99" s="969"/>
      <c r="S99" s="44"/>
      <c r="T99" s="44"/>
      <c r="U99" s="44"/>
      <c r="V99" s="44"/>
    </row>
    <row r="100" spans="1:22" s="493" customFormat="1" ht="15.75" customHeight="1">
      <c r="A100" s="908" t="s">
        <v>156</v>
      </c>
      <c r="B100" s="918" t="s">
        <v>992</v>
      </c>
      <c r="C100" s="715">
        <v>2</v>
      </c>
      <c r="D100" s="715">
        <v>1</v>
      </c>
      <c r="E100" s="715">
        <v>1</v>
      </c>
      <c r="F100" s="715">
        <v>1</v>
      </c>
      <c r="G100" s="715">
        <v>65</v>
      </c>
      <c r="H100" s="966">
        <f t="shared" ref="H100:H117" si="34">C100*D100*G100</f>
        <v>130</v>
      </c>
      <c r="I100" s="966">
        <f t="shared" ref="I100:I117" si="35">C100*E100*F100*16.5</f>
        <v>33</v>
      </c>
      <c r="J100" s="966">
        <f t="shared" si="24"/>
        <v>33</v>
      </c>
      <c r="K100" s="963">
        <v>0</v>
      </c>
      <c r="L100" s="963">
        <v>0</v>
      </c>
      <c r="M100" s="968"/>
      <c r="N100" s="968"/>
      <c r="O100" s="968"/>
      <c r="P100" s="968"/>
      <c r="Q100" s="968"/>
      <c r="R100" s="969"/>
      <c r="S100" s="44"/>
      <c r="T100" s="44"/>
      <c r="U100" s="44"/>
      <c r="V100" s="44"/>
    </row>
    <row r="101" spans="1:22" s="493" customFormat="1" ht="15.75" customHeight="1">
      <c r="A101" s="908" t="s">
        <v>157</v>
      </c>
      <c r="B101" s="918" t="s">
        <v>993</v>
      </c>
      <c r="C101" s="715">
        <v>3</v>
      </c>
      <c r="D101" s="715">
        <v>1</v>
      </c>
      <c r="E101" s="715">
        <v>1</v>
      </c>
      <c r="F101" s="715">
        <v>1</v>
      </c>
      <c r="G101" s="715">
        <v>65</v>
      </c>
      <c r="H101" s="966">
        <f t="shared" si="34"/>
        <v>195</v>
      </c>
      <c r="I101" s="966">
        <f t="shared" si="35"/>
        <v>49.5</v>
      </c>
      <c r="J101" s="966">
        <f t="shared" si="24"/>
        <v>49.5</v>
      </c>
      <c r="K101" s="963">
        <v>0</v>
      </c>
      <c r="L101" s="963">
        <v>0</v>
      </c>
      <c r="M101" s="968"/>
      <c r="N101" s="968"/>
      <c r="O101" s="968"/>
      <c r="P101" s="968"/>
      <c r="Q101" s="968"/>
      <c r="R101" s="969"/>
      <c r="S101" s="44"/>
      <c r="T101" s="44"/>
      <c r="U101" s="44"/>
      <c r="V101" s="44"/>
    </row>
    <row r="102" spans="1:22" s="493" customFormat="1" ht="15.75" customHeight="1">
      <c r="A102" s="908" t="s">
        <v>158</v>
      </c>
      <c r="B102" s="918" t="s">
        <v>994</v>
      </c>
      <c r="C102" s="715">
        <v>3</v>
      </c>
      <c r="D102" s="715">
        <v>1</v>
      </c>
      <c r="E102" s="715">
        <v>1</v>
      </c>
      <c r="F102" s="715">
        <v>1</v>
      </c>
      <c r="G102" s="715">
        <v>65</v>
      </c>
      <c r="H102" s="966">
        <f t="shared" si="34"/>
        <v>195</v>
      </c>
      <c r="I102" s="966">
        <f t="shared" si="35"/>
        <v>49.5</v>
      </c>
      <c r="J102" s="966">
        <f t="shared" si="24"/>
        <v>49.5</v>
      </c>
      <c r="K102" s="963">
        <v>0</v>
      </c>
      <c r="L102" s="963">
        <v>0</v>
      </c>
      <c r="M102" s="968"/>
      <c r="N102" s="968"/>
      <c r="O102" s="968"/>
      <c r="P102" s="968"/>
      <c r="Q102" s="968"/>
      <c r="R102" s="969"/>
      <c r="S102" s="44"/>
      <c r="T102" s="44"/>
      <c r="U102" s="44"/>
      <c r="V102" s="44"/>
    </row>
    <row r="103" spans="1:22" s="493" customFormat="1" ht="15.75" customHeight="1">
      <c r="A103" s="908" t="s">
        <v>752</v>
      </c>
      <c r="B103" s="918" t="s">
        <v>968</v>
      </c>
      <c r="C103" s="717">
        <v>5</v>
      </c>
      <c r="D103" s="717">
        <v>1</v>
      </c>
      <c r="E103" s="717">
        <v>1</v>
      </c>
      <c r="F103" s="717">
        <v>1</v>
      </c>
      <c r="G103" s="717">
        <v>23</v>
      </c>
      <c r="H103" s="966">
        <f t="shared" si="34"/>
        <v>115</v>
      </c>
      <c r="I103" s="966">
        <f t="shared" si="35"/>
        <v>82.5</v>
      </c>
      <c r="J103" s="966">
        <f t="shared" si="24"/>
        <v>82.5</v>
      </c>
      <c r="K103" s="963">
        <v>0</v>
      </c>
      <c r="L103" s="963">
        <v>0</v>
      </c>
      <c r="M103" s="968"/>
      <c r="N103" s="968"/>
      <c r="O103" s="968"/>
      <c r="P103" s="968"/>
      <c r="Q103" s="968"/>
      <c r="R103" s="969"/>
      <c r="S103" s="44"/>
      <c r="T103" s="44"/>
      <c r="U103" s="44"/>
      <c r="V103" s="44"/>
    </row>
    <row r="104" spans="1:22" s="493" customFormat="1" ht="15.75" customHeight="1">
      <c r="A104" s="908" t="s">
        <v>753</v>
      </c>
      <c r="B104" s="918" t="s">
        <v>966</v>
      </c>
      <c r="C104" s="717">
        <v>5</v>
      </c>
      <c r="D104" s="717">
        <v>1</v>
      </c>
      <c r="E104" s="717">
        <v>1</v>
      </c>
      <c r="F104" s="717">
        <v>1</v>
      </c>
      <c r="G104" s="717">
        <v>23</v>
      </c>
      <c r="H104" s="966">
        <f t="shared" si="34"/>
        <v>115</v>
      </c>
      <c r="I104" s="966">
        <f t="shared" si="35"/>
        <v>82.5</v>
      </c>
      <c r="J104" s="966">
        <f t="shared" si="24"/>
        <v>82.5</v>
      </c>
      <c r="K104" s="963">
        <v>0</v>
      </c>
      <c r="L104" s="963">
        <v>0</v>
      </c>
      <c r="M104" s="968"/>
      <c r="N104" s="968"/>
      <c r="O104" s="968"/>
      <c r="P104" s="968"/>
      <c r="Q104" s="968"/>
      <c r="R104" s="969"/>
      <c r="S104" s="44"/>
      <c r="T104" s="44"/>
      <c r="U104" s="44"/>
      <c r="V104" s="44"/>
    </row>
    <row r="105" spans="1:22" s="493" customFormat="1" ht="15.75" customHeight="1">
      <c r="A105" s="908" t="s">
        <v>755</v>
      </c>
      <c r="B105" s="918" t="s">
        <v>967</v>
      </c>
      <c r="C105" s="717">
        <v>5</v>
      </c>
      <c r="D105" s="717">
        <v>1</v>
      </c>
      <c r="E105" s="717">
        <v>1</v>
      </c>
      <c r="F105" s="717">
        <v>1</v>
      </c>
      <c r="G105" s="717">
        <v>23</v>
      </c>
      <c r="H105" s="966">
        <f t="shared" si="34"/>
        <v>115</v>
      </c>
      <c r="I105" s="966">
        <f t="shared" si="35"/>
        <v>82.5</v>
      </c>
      <c r="J105" s="966">
        <f t="shared" si="24"/>
        <v>82.5</v>
      </c>
      <c r="K105" s="963">
        <v>0</v>
      </c>
      <c r="L105" s="963">
        <v>0</v>
      </c>
      <c r="M105" s="968"/>
      <c r="N105" s="968"/>
      <c r="O105" s="968"/>
      <c r="P105" s="968"/>
      <c r="Q105" s="968"/>
      <c r="R105" s="969"/>
      <c r="S105" s="44"/>
      <c r="T105" s="44"/>
      <c r="U105" s="44"/>
      <c r="V105" s="44"/>
    </row>
    <row r="106" spans="1:22" s="493" customFormat="1" ht="15.75" customHeight="1">
      <c r="A106" s="908" t="s">
        <v>757</v>
      </c>
      <c r="B106" s="918" t="s">
        <v>999</v>
      </c>
      <c r="C106" s="717">
        <v>5</v>
      </c>
      <c r="D106" s="717">
        <v>1</v>
      </c>
      <c r="E106" s="717">
        <v>1</v>
      </c>
      <c r="F106" s="717">
        <v>1</v>
      </c>
      <c r="G106" s="717">
        <v>23</v>
      </c>
      <c r="H106" s="966">
        <f t="shared" si="34"/>
        <v>115</v>
      </c>
      <c r="I106" s="966">
        <f t="shared" si="35"/>
        <v>82.5</v>
      </c>
      <c r="J106" s="966">
        <f t="shared" si="24"/>
        <v>82.5</v>
      </c>
      <c r="K106" s="963">
        <v>0</v>
      </c>
      <c r="L106" s="963">
        <v>0</v>
      </c>
      <c r="M106" s="968"/>
      <c r="N106" s="968"/>
      <c r="O106" s="968"/>
      <c r="P106" s="968"/>
      <c r="Q106" s="968"/>
      <c r="R106" s="969"/>
      <c r="S106" s="44"/>
      <c r="T106" s="44"/>
      <c r="U106" s="44"/>
      <c r="V106" s="44"/>
    </row>
    <row r="107" spans="1:22" s="493" customFormat="1" ht="15.75" customHeight="1">
      <c r="A107" s="908" t="s">
        <v>758</v>
      </c>
      <c r="B107" s="918" t="s">
        <v>956</v>
      </c>
      <c r="C107" s="717">
        <v>5</v>
      </c>
      <c r="D107" s="717">
        <v>1</v>
      </c>
      <c r="E107" s="717">
        <v>1</v>
      </c>
      <c r="F107" s="717">
        <v>1</v>
      </c>
      <c r="G107" s="717">
        <v>23</v>
      </c>
      <c r="H107" s="966">
        <f t="shared" si="34"/>
        <v>115</v>
      </c>
      <c r="I107" s="966">
        <f t="shared" si="35"/>
        <v>82.5</v>
      </c>
      <c r="J107" s="966">
        <f t="shared" si="24"/>
        <v>82.5</v>
      </c>
      <c r="K107" s="963">
        <v>0</v>
      </c>
      <c r="L107" s="963">
        <v>0</v>
      </c>
      <c r="M107" s="968"/>
      <c r="N107" s="968"/>
      <c r="O107" s="968"/>
      <c r="P107" s="968"/>
      <c r="Q107" s="968"/>
      <c r="R107" s="969"/>
      <c r="S107" s="44"/>
      <c r="T107" s="44"/>
      <c r="U107" s="44"/>
      <c r="V107" s="44"/>
    </row>
    <row r="108" spans="1:22" s="493" customFormat="1" ht="15.75" customHeight="1">
      <c r="A108" s="908" t="s">
        <v>760</v>
      </c>
      <c r="B108" s="918" t="s">
        <v>1000</v>
      </c>
      <c r="C108" s="717">
        <v>3</v>
      </c>
      <c r="D108" s="717">
        <v>1</v>
      </c>
      <c r="E108" s="717">
        <v>1</v>
      </c>
      <c r="F108" s="717">
        <v>1</v>
      </c>
      <c r="G108" s="717">
        <v>23</v>
      </c>
      <c r="H108" s="966">
        <f t="shared" si="34"/>
        <v>69</v>
      </c>
      <c r="I108" s="966">
        <f t="shared" si="35"/>
        <v>49.5</v>
      </c>
      <c r="J108" s="966">
        <f t="shared" si="24"/>
        <v>49.5</v>
      </c>
      <c r="K108" s="963">
        <v>0</v>
      </c>
      <c r="L108" s="963">
        <v>0</v>
      </c>
      <c r="M108" s="968"/>
      <c r="N108" s="968"/>
      <c r="O108" s="968"/>
      <c r="P108" s="968"/>
      <c r="Q108" s="968"/>
      <c r="R108" s="969"/>
      <c r="S108" s="44"/>
      <c r="T108" s="44"/>
      <c r="U108" s="44"/>
      <c r="V108" s="44"/>
    </row>
    <row r="109" spans="1:22" s="493" customFormat="1" ht="15.75" customHeight="1">
      <c r="A109" s="908" t="s">
        <v>762</v>
      </c>
      <c r="B109" s="918" t="s">
        <v>952</v>
      </c>
      <c r="C109" s="717">
        <v>3</v>
      </c>
      <c r="D109" s="717">
        <v>1</v>
      </c>
      <c r="E109" s="717">
        <v>1</v>
      </c>
      <c r="F109" s="717">
        <v>1</v>
      </c>
      <c r="G109" s="717">
        <v>23</v>
      </c>
      <c r="H109" s="966">
        <f t="shared" si="34"/>
        <v>69</v>
      </c>
      <c r="I109" s="966">
        <f t="shared" si="35"/>
        <v>49.5</v>
      </c>
      <c r="J109" s="966">
        <f t="shared" si="24"/>
        <v>49.5</v>
      </c>
      <c r="K109" s="963">
        <v>0</v>
      </c>
      <c r="L109" s="963">
        <v>0</v>
      </c>
      <c r="M109" s="968"/>
      <c r="N109" s="968"/>
      <c r="O109" s="968"/>
      <c r="P109" s="968"/>
      <c r="Q109" s="968"/>
      <c r="R109" s="969"/>
      <c r="S109" s="44"/>
      <c r="T109" s="44"/>
      <c r="U109" s="44"/>
      <c r="V109" s="44"/>
    </row>
    <row r="110" spans="1:22" s="493" customFormat="1" ht="15.75" customHeight="1">
      <c r="A110" s="908" t="s">
        <v>764</v>
      </c>
      <c r="B110" s="918" t="s">
        <v>1001</v>
      </c>
      <c r="C110" s="717">
        <v>3</v>
      </c>
      <c r="D110" s="717">
        <v>1</v>
      </c>
      <c r="E110" s="717">
        <v>1</v>
      </c>
      <c r="F110" s="717">
        <v>1</v>
      </c>
      <c r="G110" s="717">
        <v>23</v>
      </c>
      <c r="H110" s="966">
        <f t="shared" si="34"/>
        <v>69</v>
      </c>
      <c r="I110" s="966">
        <f t="shared" si="35"/>
        <v>49.5</v>
      </c>
      <c r="J110" s="966">
        <f t="shared" si="24"/>
        <v>49.5</v>
      </c>
      <c r="K110" s="963">
        <v>0</v>
      </c>
      <c r="L110" s="963">
        <v>0</v>
      </c>
      <c r="M110" s="968"/>
      <c r="N110" s="968"/>
      <c r="O110" s="968"/>
      <c r="P110" s="968"/>
      <c r="Q110" s="968"/>
      <c r="R110" s="969"/>
      <c r="S110" s="44"/>
      <c r="T110" s="44"/>
      <c r="U110" s="44"/>
      <c r="V110" s="44"/>
    </row>
    <row r="111" spans="1:22" s="493" customFormat="1" ht="15.75" customHeight="1">
      <c r="A111" s="908" t="s">
        <v>766</v>
      </c>
      <c r="B111" s="918" t="s">
        <v>1002</v>
      </c>
      <c r="C111" s="717">
        <v>3</v>
      </c>
      <c r="D111" s="717">
        <v>1</v>
      </c>
      <c r="E111" s="717">
        <v>1</v>
      </c>
      <c r="F111" s="717">
        <v>1</v>
      </c>
      <c r="G111" s="717">
        <v>23</v>
      </c>
      <c r="H111" s="966">
        <f t="shared" si="34"/>
        <v>69</v>
      </c>
      <c r="I111" s="966">
        <f t="shared" si="35"/>
        <v>49.5</v>
      </c>
      <c r="J111" s="966">
        <f t="shared" si="24"/>
        <v>49.5</v>
      </c>
      <c r="K111" s="963">
        <v>0</v>
      </c>
      <c r="L111" s="963">
        <v>0</v>
      </c>
      <c r="M111" s="968"/>
      <c r="N111" s="968"/>
      <c r="O111" s="968"/>
      <c r="P111" s="968"/>
      <c r="Q111" s="968"/>
      <c r="R111" s="969"/>
      <c r="S111" s="44"/>
      <c r="T111" s="44"/>
      <c r="U111" s="44"/>
      <c r="V111" s="44"/>
    </row>
    <row r="112" spans="1:22" s="493" customFormat="1" ht="15.75" customHeight="1">
      <c r="A112" s="908" t="s">
        <v>768</v>
      </c>
      <c r="B112" s="918" t="s">
        <v>1003</v>
      </c>
      <c r="C112" s="717">
        <v>3</v>
      </c>
      <c r="D112" s="717">
        <v>1</v>
      </c>
      <c r="E112" s="717">
        <v>1</v>
      </c>
      <c r="F112" s="717">
        <v>1</v>
      </c>
      <c r="G112" s="717">
        <v>23</v>
      </c>
      <c r="H112" s="966">
        <f t="shared" si="34"/>
        <v>69</v>
      </c>
      <c r="I112" s="966">
        <f t="shared" si="35"/>
        <v>49.5</v>
      </c>
      <c r="J112" s="966">
        <f t="shared" si="24"/>
        <v>49.5</v>
      </c>
      <c r="K112" s="963">
        <v>0</v>
      </c>
      <c r="L112" s="963">
        <v>0</v>
      </c>
      <c r="M112" s="968"/>
      <c r="N112" s="968"/>
      <c r="O112" s="968"/>
      <c r="P112" s="968"/>
      <c r="Q112" s="968"/>
      <c r="R112" s="969"/>
      <c r="S112" s="44"/>
      <c r="T112" s="44"/>
      <c r="U112" s="44"/>
      <c r="V112" s="44"/>
    </row>
    <row r="113" spans="1:22" s="987" customFormat="1" ht="15.75" customHeight="1">
      <c r="A113" s="998" t="s">
        <v>30</v>
      </c>
      <c r="B113" s="896" t="s">
        <v>1381</v>
      </c>
      <c r="C113" s="988">
        <f>SUM(C114:C117)</f>
        <v>12</v>
      </c>
      <c r="D113" s="988"/>
      <c r="E113" s="988">
        <f t="shared" ref="E113:L113" si="36">SUM(E114:E117)</f>
        <v>4</v>
      </c>
      <c r="F113" s="988"/>
      <c r="G113" s="988"/>
      <c r="H113" s="989">
        <f t="shared" si="36"/>
        <v>780</v>
      </c>
      <c r="I113" s="989">
        <f t="shared" si="36"/>
        <v>198</v>
      </c>
      <c r="J113" s="989">
        <f t="shared" si="36"/>
        <v>198</v>
      </c>
      <c r="K113" s="990">
        <f t="shared" si="36"/>
        <v>0</v>
      </c>
      <c r="L113" s="990">
        <f t="shared" si="36"/>
        <v>0</v>
      </c>
      <c r="M113" s="999"/>
      <c r="N113" s="999"/>
      <c r="O113" s="999"/>
      <c r="P113" s="999"/>
      <c r="Q113" s="999"/>
      <c r="R113" s="1000"/>
      <c r="S113" s="495"/>
      <c r="T113" s="495"/>
      <c r="U113" s="495"/>
      <c r="V113" s="495"/>
    </row>
    <row r="114" spans="1:22" s="493" customFormat="1" ht="15.75" customHeight="1">
      <c r="A114" s="908" t="s">
        <v>155</v>
      </c>
      <c r="B114" s="918" t="s">
        <v>995</v>
      </c>
      <c r="C114" s="715">
        <v>3</v>
      </c>
      <c r="D114" s="715">
        <v>1</v>
      </c>
      <c r="E114" s="715">
        <v>1</v>
      </c>
      <c r="F114" s="715">
        <v>1</v>
      </c>
      <c r="G114" s="715">
        <v>65</v>
      </c>
      <c r="H114" s="966">
        <f t="shared" si="34"/>
        <v>195</v>
      </c>
      <c r="I114" s="966">
        <f t="shared" si="35"/>
        <v>49.5</v>
      </c>
      <c r="J114" s="966">
        <f t="shared" si="24"/>
        <v>49.5</v>
      </c>
      <c r="K114" s="963">
        <v>0</v>
      </c>
      <c r="L114" s="963">
        <v>0</v>
      </c>
      <c r="M114" s="968"/>
      <c r="N114" s="968"/>
      <c r="O114" s="968"/>
      <c r="P114" s="968"/>
      <c r="Q114" s="968"/>
      <c r="R114" s="969"/>
      <c r="S114" s="44"/>
      <c r="T114" s="44"/>
      <c r="U114" s="44"/>
      <c r="V114" s="44"/>
    </row>
    <row r="115" spans="1:22" s="493" customFormat="1" ht="15.75" customHeight="1">
      <c r="A115" s="908" t="s">
        <v>156</v>
      </c>
      <c r="B115" s="918" t="s">
        <v>996</v>
      </c>
      <c r="C115" s="715">
        <v>3</v>
      </c>
      <c r="D115" s="715">
        <v>1</v>
      </c>
      <c r="E115" s="715">
        <v>1</v>
      </c>
      <c r="F115" s="715">
        <v>1</v>
      </c>
      <c r="G115" s="715">
        <v>65</v>
      </c>
      <c r="H115" s="966">
        <f t="shared" si="34"/>
        <v>195</v>
      </c>
      <c r="I115" s="966">
        <f t="shared" si="35"/>
        <v>49.5</v>
      </c>
      <c r="J115" s="966">
        <f t="shared" si="24"/>
        <v>49.5</v>
      </c>
      <c r="K115" s="963">
        <v>0</v>
      </c>
      <c r="L115" s="963">
        <v>0</v>
      </c>
      <c r="M115" s="968"/>
      <c r="N115" s="968"/>
      <c r="O115" s="968"/>
      <c r="P115" s="968"/>
      <c r="Q115" s="968"/>
      <c r="R115" s="969"/>
      <c r="S115" s="44"/>
      <c r="T115" s="44"/>
      <c r="U115" s="44"/>
      <c r="V115" s="44"/>
    </row>
    <row r="116" spans="1:22" s="493" customFormat="1" ht="15.75" customHeight="1">
      <c r="A116" s="908" t="s">
        <v>157</v>
      </c>
      <c r="B116" s="918" t="s">
        <v>997</v>
      </c>
      <c r="C116" s="715">
        <v>3</v>
      </c>
      <c r="D116" s="715">
        <v>1</v>
      </c>
      <c r="E116" s="715">
        <v>1</v>
      </c>
      <c r="F116" s="715">
        <v>1</v>
      </c>
      <c r="G116" s="715">
        <v>65</v>
      </c>
      <c r="H116" s="966">
        <f t="shared" si="34"/>
        <v>195</v>
      </c>
      <c r="I116" s="966">
        <f t="shared" si="35"/>
        <v>49.5</v>
      </c>
      <c r="J116" s="966">
        <f t="shared" si="24"/>
        <v>49.5</v>
      </c>
      <c r="K116" s="963">
        <v>0</v>
      </c>
      <c r="L116" s="963">
        <v>0</v>
      </c>
      <c r="M116" s="968"/>
      <c r="N116" s="968"/>
      <c r="O116" s="968"/>
      <c r="P116" s="968"/>
      <c r="Q116" s="968"/>
      <c r="R116" s="969"/>
      <c r="S116" s="44"/>
      <c r="T116" s="44"/>
      <c r="U116" s="44"/>
      <c r="V116" s="44"/>
    </row>
    <row r="117" spans="1:22" s="493" customFormat="1" ht="15.75" customHeight="1" thickBot="1">
      <c r="A117" s="942" t="s">
        <v>158</v>
      </c>
      <c r="B117" s="1001" t="s">
        <v>998</v>
      </c>
      <c r="C117" s="733">
        <v>3</v>
      </c>
      <c r="D117" s="733">
        <v>1</v>
      </c>
      <c r="E117" s="733">
        <v>1</v>
      </c>
      <c r="F117" s="733">
        <v>1</v>
      </c>
      <c r="G117" s="733">
        <v>65</v>
      </c>
      <c r="H117" s="1002">
        <f t="shared" si="34"/>
        <v>195</v>
      </c>
      <c r="I117" s="1002">
        <f t="shared" si="35"/>
        <v>49.5</v>
      </c>
      <c r="J117" s="1002">
        <f t="shared" si="24"/>
        <v>49.5</v>
      </c>
      <c r="K117" s="1003">
        <v>0</v>
      </c>
      <c r="L117" s="1003">
        <v>0</v>
      </c>
      <c r="M117" s="1004"/>
      <c r="N117" s="1004"/>
      <c r="O117" s="1004"/>
      <c r="P117" s="1004"/>
      <c r="Q117" s="1004"/>
      <c r="R117" s="1005"/>
      <c r="S117" s="44"/>
      <c r="T117" s="44"/>
      <c r="U117" s="44"/>
      <c r="V117" s="44"/>
    </row>
    <row r="118" spans="1:22" ht="24" customHeight="1">
      <c r="A118" s="677"/>
      <c r="B118" s="1362"/>
      <c r="C118" s="1362"/>
      <c r="D118" s="1362"/>
      <c r="E118" s="1362"/>
      <c r="F118" s="1362"/>
      <c r="G118" s="1362"/>
      <c r="H118" s="1362"/>
      <c r="I118" s="1362"/>
      <c r="J118" s="1362"/>
      <c r="K118" s="1362"/>
      <c r="L118" s="1362"/>
      <c r="M118" s="1358" t="s">
        <v>42</v>
      </c>
      <c r="N118" s="1358"/>
      <c r="O118" s="1358"/>
      <c r="P118" s="1358"/>
      <c r="Q118" s="1358"/>
      <c r="R118" s="1358"/>
      <c r="S118" s="2"/>
      <c r="T118" s="2"/>
      <c r="U118" s="2"/>
      <c r="V118" s="2"/>
    </row>
    <row r="119" spans="1:22" ht="20.25" customHeight="1">
      <c r="A119" s="677"/>
      <c r="B119" s="1363"/>
      <c r="C119" s="1363"/>
      <c r="D119" s="1363"/>
      <c r="E119" s="1363"/>
      <c r="F119" s="1363"/>
      <c r="G119" s="1363"/>
      <c r="H119" s="1363"/>
      <c r="I119" s="1363"/>
      <c r="J119" s="1363"/>
      <c r="K119" s="1363"/>
      <c r="L119" s="1363"/>
      <c r="M119" s="1"/>
      <c r="N119" s="1"/>
      <c r="O119" s="1359" t="s">
        <v>1429</v>
      </c>
      <c r="P119" s="1359"/>
      <c r="Q119" s="1359"/>
      <c r="R119" s="1359"/>
      <c r="S119" s="2"/>
      <c r="T119" s="2"/>
      <c r="U119" s="2"/>
      <c r="V119" s="2"/>
    </row>
    <row r="120" spans="1:22" ht="15" customHeight="1">
      <c r="A120" s="677"/>
      <c r="B120" s="49"/>
      <c r="C120" s="50"/>
      <c r="D120" s="50"/>
      <c r="E120" s="50"/>
      <c r="F120" s="50"/>
      <c r="G120" s="50"/>
      <c r="H120" s="686"/>
      <c r="I120" s="686"/>
      <c r="J120" s="686"/>
      <c r="K120" s="686"/>
      <c r="L120" s="686"/>
      <c r="M120" s="1"/>
      <c r="N120" s="1"/>
      <c r="O120" s="520"/>
      <c r="P120" s="520"/>
      <c r="Q120" s="520"/>
      <c r="R120" s="1219"/>
      <c r="S120" s="2"/>
      <c r="T120" s="2"/>
      <c r="U120" s="2"/>
      <c r="V120" s="2"/>
    </row>
    <row r="121" spans="1:22">
      <c r="A121" s="677"/>
      <c r="B121" s="49"/>
      <c r="C121" s="1"/>
      <c r="D121" s="1"/>
      <c r="E121" s="1"/>
      <c r="F121" s="1"/>
      <c r="G121" s="1"/>
      <c r="H121" s="686"/>
      <c r="I121" s="686"/>
      <c r="J121" s="686"/>
      <c r="K121" s="686"/>
      <c r="L121" s="686"/>
      <c r="M121" s="1"/>
      <c r="N121" s="1"/>
      <c r="O121" s="520"/>
      <c r="P121" s="520"/>
      <c r="Q121" s="520"/>
      <c r="R121" s="1219"/>
      <c r="S121" s="2"/>
      <c r="T121" s="2"/>
      <c r="U121" s="2"/>
      <c r="V121" s="2"/>
    </row>
    <row r="122" spans="1:22">
      <c r="A122" s="677"/>
      <c r="B122" s="49"/>
      <c r="C122" s="1"/>
      <c r="D122" s="1"/>
      <c r="E122" s="1"/>
      <c r="F122" s="1"/>
      <c r="G122" s="1"/>
      <c r="H122" s="686"/>
      <c r="I122" s="686"/>
      <c r="J122" s="686"/>
      <c r="K122" s="686"/>
      <c r="L122" s="686"/>
      <c r="M122" s="1"/>
      <c r="N122" s="1"/>
      <c r="S122" s="2"/>
      <c r="T122" s="2"/>
      <c r="U122" s="2"/>
      <c r="V122" s="2"/>
    </row>
    <row r="123" spans="1:22">
      <c r="A123" s="677"/>
      <c r="B123" s="677"/>
      <c r="C123" s="51"/>
      <c r="D123" s="51"/>
      <c r="E123" s="51"/>
      <c r="F123" s="51"/>
      <c r="G123" s="51"/>
      <c r="H123" s="689"/>
      <c r="I123" s="686"/>
      <c r="J123" s="686"/>
      <c r="K123" s="686"/>
      <c r="L123" s="686"/>
      <c r="M123" s="1"/>
      <c r="N123" s="1"/>
      <c r="O123" s="1338" t="s">
        <v>1431</v>
      </c>
      <c r="P123" s="1338"/>
      <c r="Q123" s="1338"/>
      <c r="R123" s="1338"/>
      <c r="S123" s="2"/>
      <c r="T123" s="2"/>
      <c r="U123" s="2"/>
      <c r="V123" s="2"/>
    </row>
    <row r="124" spans="1:22">
      <c r="A124" s="677"/>
      <c r="B124" s="677"/>
      <c r="C124" s="51"/>
      <c r="D124" s="51"/>
      <c r="E124" s="51"/>
      <c r="F124" s="51"/>
      <c r="G124" s="51"/>
      <c r="H124" s="689"/>
      <c r="I124" s="686"/>
      <c r="J124" s="686"/>
      <c r="K124" s="686"/>
      <c r="L124" s="686"/>
      <c r="M124" s="1"/>
      <c r="N124" s="1"/>
      <c r="O124" s="1"/>
      <c r="P124" s="1"/>
      <c r="Q124" s="1"/>
      <c r="R124" s="2"/>
      <c r="S124" s="2"/>
      <c r="T124" s="2"/>
      <c r="U124" s="2"/>
      <c r="V124" s="2"/>
    </row>
    <row r="125" spans="1:22" ht="13.5" customHeight="1">
      <c r="A125" s="677"/>
      <c r="B125" s="677"/>
      <c r="C125" s="49"/>
      <c r="D125" s="49"/>
      <c r="E125" s="49"/>
      <c r="F125" s="49"/>
      <c r="G125" s="49"/>
      <c r="H125" s="690"/>
      <c r="I125" s="686"/>
      <c r="J125" s="686"/>
      <c r="K125" s="686"/>
      <c r="L125" s="686"/>
      <c r="M125" s="1"/>
      <c r="N125" s="1"/>
      <c r="O125" s="1"/>
      <c r="P125" s="1"/>
      <c r="Q125" s="1"/>
      <c r="R125" s="2"/>
      <c r="S125" s="2"/>
      <c r="T125" s="2"/>
      <c r="U125" s="2"/>
      <c r="V125" s="2"/>
    </row>
    <row r="126" spans="1:22">
      <c r="A126" s="677"/>
      <c r="B126" s="677"/>
      <c r="C126" s="1"/>
      <c r="D126" s="1"/>
      <c r="E126" s="1"/>
      <c r="F126" s="1"/>
      <c r="G126" s="1"/>
      <c r="H126" s="686"/>
      <c r="I126" s="686"/>
      <c r="J126" s="686"/>
      <c r="K126" s="686"/>
      <c r="L126" s="686"/>
      <c r="M126" s="1"/>
      <c r="N126" s="1"/>
      <c r="O126" s="1"/>
      <c r="P126" s="1"/>
      <c r="Q126" s="1"/>
      <c r="R126" s="2"/>
      <c r="S126" s="2"/>
      <c r="T126" s="2"/>
      <c r="U126" s="2"/>
      <c r="V126" s="2"/>
    </row>
    <row r="127" spans="1:22">
      <c r="A127" s="677"/>
      <c r="B127" s="677"/>
      <c r="C127" s="1"/>
      <c r="D127" s="1"/>
      <c r="E127" s="1"/>
      <c r="F127" s="1"/>
      <c r="G127" s="1"/>
      <c r="H127" s="686"/>
      <c r="I127" s="686"/>
      <c r="J127" s="686"/>
      <c r="K127" s="686"/>
      <c r="L127" s="686"/>
      <c r="M127" s="1"/>
      <c r="N127" s="1"/>
      <c r="O127" s="1"/>
      <c r="P127" s="1"/>
      <c r="Q127" s="1"/>
      <c r="R127" s="2"/>
      <c r="S127" s="2"/>
      <c r="T127" s="2"/>
      <c r="U127" s="2"/>
      <c r="V127" s="2"/>
    </row>
    <row r="128" spans="1:22">
      <c r="A128" s="677"/>
      <c r="B128" s="677"/>
      <c r="C128" s="1"/>
      <c r="D128" s="1"/>
      <c r="E128" s="1"/>
      <c r="F128" s="1"/>
      <c r="G128" s="1"/>
      <c r="H128" s="686"/>
      <c r="I128" s="686"/>
      <c r="J128" s="686"/>
      <c r="K128" s="686"/>
      <c r="L128" s="686"/>
      <c r="M128" s="1"/>
      <c r="N128" s="1"/>
      <c r="O128" s="1"/>
      <c r="P128" s="1"/>
      <c r="Q128" s="1"/>
      <c r="R128" s="2"/>
      <c r="S128" s="2"/>
      <c r="T128" s="2"/>
      <c r="U128" s="2"/>
      <c r="V128" s="2"/>
    </row>
    <row r="129" spans="1:22">
      <c r="A129" s="677"/>
      <c r="B129" s="677"/>
      <c r="C129" s="1"/>
      <c r="D129" s="1"/>
      <c r="E129" s="1"/>
      <c r="F129" s="1"/>
      <c r="G129" s="1"/>
      <c r="H129" s="686"/>
      <c r="I129" s="686"/>
      <c r="J129" s="686"/>
      <c r="K129" s="686"/>
      <c r="L129" s="686"/>
      <c r="M129" s="1"/>
      <c r="N129" s="1"/>
      <c r="O129" s="1"/>
      <c r="P129" s="1"/>
      <c r="Q129" s="1"/>
      <c r="R129" s="2"/>
      <c r="S129" s="2"/>
      <c r="T129" s="2"/>
      <c r="U129" s="2"/>
      <c r="V129" s="2"/>
    </row>
    <row r="130" spans="1:22">
      <c r="A130" s="677"/>
      <c r="B130" s="677"/>
      <c r="C130" s="1"/>
      <c r="D130" s="1"/>
      <c r="E130" s="1"/>
      <c r="F130" s="1"/>
      <c r="G130" s="1"/>
      <c r="H130" s="686"/>
      <c r="I130" s="686"/>
      <c r="J130" s="686"/>
      <c r="K130" s="686"/>
      <c r="L130" s="686"/>
      <c r="M130" s="1"/>
      <c r="N130" s="1"/>
      <c r="O130" s="1"/>
      <c r="P130" s="1"/>
      <c r="Q130" s="1"/>
      <c r="R130" s="2"/>
      <c r="S130" s="2"/>
      <c r="T130" s="2"/>
      <c r="U130" s="2"/>
      <c r="V130" s="2"/>
    </row>
    <row r="131" spans="1:22">
      <c r="A131" s="677"/>
      <c r="B131" s="677"/>
      <c r="C131" s="1"/>
      <c r="D131" s="1"/>
      <c r="E131" s="1"/>
      <c r="F131" s="1"/>
      <c r="G131" s="1"/>
      <c r="H131" s="686"/>
      <c r="I131" s="686"/>
      <c r="J131" s="686"/>
      <c r="K131" s="686"/>
      <c r="L131" s="686"/>
      <c r="M131" s="1"/>
      <c r="N131" s="1"/>
      <c r="O131" s="1"/>
      <c r="P131" s="1"/>
      <c r="Q131" s="1"/>
      <c r="R131" s="2"/>
      <c r="S131" s="2"/>
      <c r="T131" s="2"/>
      <c r="U131" s="2"/>
      <c r="V131" s="2"/>
    </row>
    <row r="132" spans="1:22">
      <c r="A132" s="677"/>
      <c r="B132" s="677"/>
      <c r="C132" s="1"/>
      <c r="D132" s="1"/>
      <c r="E132" s="1"/>
      <c r="F132" s="1"/>
      <c r="G132" s="1"/>
      <c r="H132" s="686"/>
      <c r="I132" s="686"/>
      <c r="J132" s="686"/>
      <c r="K132" s="686"/>
      <c r="L132" s="686"/>
      <c r="M132" s="1"/>
      <c r="N132" s="1"/>
      <c r="O132" s="1"/>
      <c r="P132" s="1"/>
      <c r="Q132" s="1"/>
      <c r="R132" s="2"/>
      <c r="S132" s="2"/>
      <c r="T132" s="2"/>
      <c r="U132" s="2"/>
      <c r="V132" s="2"/>
    </row>
    <row r="133" spans="1:22">
      <c r="A133" s="677"/>
      <c r="B133" s="677"/>
      <c r="C133" s="1"/>
      <c r="D133" s="1"/>
      <c r="E133" s="1"/>
      <c r="F133" s="1"/>
      <c r="G133" s="1"/>
      <c r="H133" s="686"/>
      <c r="I133" s="686"/>
      <c r="J133" s="686"/>
      <c r="K133" s="686"/>
      <c r="L133" s="686"/>
      <c r="M133" s="1"/>
      <c r="N133" s="1"/>
      <c r="O133" s="1"/>
      <c r="P133" s="1"/>
      <c r="Q133" s="1"/>
      <c r="R133" s="2"/>
      <c r="S133" s="2"/>
      <c r="T133" s="2"/>
      <c r="U133" s="2"/>
      <c r="V133" s="2"/>
    </row>
    <row r="134" spans="1:22">
      <c r="A134" s="677"/>
      <c r="B134" s="677"/>
      <c r="C134" s="1"/>
      <c r="D134" s="1"/>
      <c r="E134" s="1"/>
      <c r="F134" s="1"/>
      <c r="G134" s="1"/>
      <c r="H134" s="686"/>
      <c r="I134" s="686"/>
      <c r="J134" s="686"/>
      <c r="K134" s="686"/>
      <c r="L134" s="686"/>
      <c r="M134" s="1"/>
      <c r="N134" s="1"/>
      <c r="O134" s="1"/>
      <c r="P134" s="1"/>
      <c r="Q134" s="1"/>
      <c r="R134" s="2"/>
      <c r="S134" s="2"/>
      <c r="T134" s="2"/>
      <c r="U134" s="2"/>
      <c r="V134" s="2"/>
    </row>
    <row r="135" spans="1:22">
      <c r="A135" s="677"/>
      <c r="B135" s="677"/>
      <c r="C135" s="1"/>
      <c r="D135" s="1"/>
      <c r="E135" s="1"/>
      <c r="F135" s="1"/>
      <c r="G135" s="1"/>
      <c r="H135" s="686"/>
      <c r="I135" s="686"/>
      <c r="J135" s="686"/>
      <c r="K135" s="686"/>
      <c r="L135" s="686"/>
      <c r="M135" s="1"/>
      <c r="N135" s="1"/>
      <c r="O135" s="1"/>
      <c r="P135" s="1"/>
      <c r="Q135" s="1"/>
      <c r="R135" s="2"/>
      <c r="S135" s="2"/>
      <c r="T135" s="2"/>
      <c r="U135" s="2"/>
      <c r="V135" s="2"/>
    </row>
    <row r="136" spans="1:22">
      <c r="A136" s="677"/>
      <c r="B136" s="677"/>
      <c r="C136" s="1"/>
      <c r="D136" s="1"/>
      <c r="E136" s="1"/>
      <c r="F136" s="1"/>
      <c r="G136" s="1"/>
      <c r="H136" s="686"/>
      <c r="I136" s="686"/>
      <c r="J136" s="686"/>
      <c r="K136" s="686"/>
      <c r="L136" s="686"/>
      <c r="M136" s="1"/>
      <c r="N136" s="1"/>
      <c r="O136" s="1"/>
      <c r="P136" s="1"/>
      <c r="Q136" s="1"/>
      <c r="R136" s="2"/>
      <c r="S136" s="2"/>
      <c r="T136" s="2"/>
      <c r="U136" s="2"/>
      <c r="V136" s="2"/>
    </row>
    <row r="137" spans="1:22">
      <c r="A137" s="677"/>
      <c r="B137" s="677"/>
      <c r="C137" s="1"/>
      <c r="D137" s="1"/>
      <c r="E137" s="1"/>
      <c r="F137" s="1"/>
      <c r="G137" s="1"/>
      <c r="H137" s="686"/>
      <c r="I137" s="686"/>
      <c r="J137" s="686"/>
      <c r="K137" s="686"/>
      <c r="L137" s="686"/>
      <c r="M137" s="1"/>
      <c r="N137" s="1"/>
      <c r="O137" s="1"/>
      <c r="P137" s="1"/>
      <c r="Q137" s="1"/>
      <c r="R137" s="2"/>
      <c r="S137" s="2"/>
      <c r="T137" s="2"/>
      <c r="U137" s="2"/>
      <c r="V137" s="2"/>
    </row>
    <row r="138" spans="1:22">
      <c r="A138" s="677"/>
      <c r="B138" s="677"/>
      <c r="C138" s="1"/>
      <c r="D138" s="1"/>
      <c r="E138" s="1"/>
      <c r="F138" s="1"/>
      <c r="G138" s="1"/>
      <c r="H138" s="686"/>
      <c r="I138" s="686"/>
      <c r="J138" s="686"/>
      <c r="K138" s="686"/>
      <c r="L138" s="686"/>
      <c r="M138" s="1"/>
      <c r="N138" s="1"/>
      <c r="O138" s="1"/>
      <c r="P138" s="1"/>
      <c r="Q138" s="1"/>
      <c r="R138" s="2"/>
      <c r="S138" s="2"/>
      <c r="T138" s="2"/>
      <c r="U138" s="2"/>
      <c r="V138" s="2"/>
    </row>
    <row r="139" spans="1:22">
      <c r="A139" s="677"/>
      <c r="B139" s="677"/>
      <c r="C139" s="1"/>
      <c r="D139" s="1"/>
      <c r="E139" s="1"/>
      <c r="F139" s="1"/>
      <c r="G139" s="1"/>
      <c r="H139" s="686"/>
      <c r="I139" s="686"/>
      <c r="J139" s="686"/>
      <c r="K139" s="686"/>
      <c r="L139" s="686"/>
      <c r="M139" s="1"/>
      <c r="N139" s="1"/>
      <c r="O139" s="1"/>
      <c r="P139" s="1"/>
      <c r="Q139" s="1"/>
      <c r="R139" s="2"/>
      <c r="S139" s="2"/>
      <c r="T139" s="2"/>
      <c r="U139" s="2"/>
      <c r="V139" s="2"/>
    </row>
    <row r="140" spans="1:22">
      <c r="A140" s="677"/>
      <c r="B140" s="677"/>
      <c r="C140" s="1"/>
      <c r="D140" s="1"/>
      <c r="E140" s="1"/>
      <c r="F140" s="1"/>
      <c r="G140" s="1"/>
      <c r="H140" s="686"/>
      <c r="I140" s="686"/>
      <c r="J140" s="686"/>
      <c r="K140" s="686"/>
      <c r="L140" s="686"/>
      <c r="M140" s="1"/>
      <c r="N140" s="1"/>
      <c r="O140" s="1"/>
      <c r="P140" s="1"/>
      <c r="Q140" s="1"/>
      <c r="R140" s="2"/>
      <c r="S140" s="2"/>
      <c r="T140" s="2"/>
      <c r="U140" s="2"/>
      <c r="V140" s="2"/>
    </row>
    <row r="141" spans="1:22">
      <c r="A141" s="677"/>
      <c r="B141" s="677"/>
      <c r="C141" s="1"/>
      <c r="D141" s="1"/>
      <c r="E141" s="1"/>
      <c r="F141" s="1"/>
      <c r="G141" s="1"/>
      <c r="H141" s="686"/>
      <c r="I141" s="686"/>
      <c r="J141" s="686"/>
      <c r="K141" s="686"/>
      <c r="L141" s="686"/>
      <c r="M141" s="1"/>
      <c r="N141" s="1"/>
      <c r="O141" s="1"/>
      <c r="P141" s="1"/>
      <c r="Q141" s="1"/>
      <c r="R141" s="2"/>
      <c r="S141" s="2"/>
      <c r="T141" s="2"/>
      <c r="U141" s="2"/>
      <c r="V141" s="2"/>
    </row>
    <row r="142" spans="1:22">
      <c r="A142" s="677"/>
      <c r="B142" s="677"/>
      <c r="C142" s="1"/>
      <c r="D142" s="1"/>
      <c r="E142" s="1"/>
      <c r="F142" s="1"/>
      <c r="G142" s="1"/>
      <c r="H142" s="686"/>
      <c r="I142" s="686"/>
      <c r="J142" s="686"/>
      <c r="K142" s="686"/>
      <c r="L142" s="686"/>
      <c r="M142" s="1"/>
      <c r="N142" s="1"/>
      <c r="O142" s="1"/>
      <c r="P142" s="1"/>
      <c r="Q142" s="1"/>
      <c r="R142" s="2"/>
      <c r="S142" s="2"/>
      <c r="T142" s="2"/>
      <c r="U142" s="2"/>
      <c r="V142" s="2"/>
    </row>
    <row r="143" spans="1:22">
      <c r="A143" s="677"/>
      <c r="B143" s="677"/>
      <c r="C143" s="1"/>
      <c r="D143" s="1"/>
      <c r="E143" s="1"/>
      <c r="F143" s="1"/>
      <c r="G143" s="1"/>
      <c r="H143" s="686"/>
      <c r="I143" s="686"/>
      <c r="J143" s="686"/>
      <c r="K143" s="686"/>
      <c r="L143" s="686"/>
      <c r="M143" s="1"/>
      <c r="N143" s="1"/>
      <c r="O143" s="1"/>
      <c r="P143" s="1"/>
      <c r="Q143" s="1"/>
      <c r="R143" s="2"/>
      <c r="S143" s="2"/>
      <c r="T143" s="2"/>
      <c r="U143" s="2"/>
      <c r="V143" s="2"/>
    </row>
    <row r="144" spans="1:22">
      <c r="A144" s="677"/>
      <c r="B144" s="677"/>
      <c r="C144" s="1"/>
      <c r="D144" s="1"/>
      <c r="E144" s="1"/>
      <c r="F144" s="1"/>
      <c r="G144" s="1"/>
      <c r="H144" s="686"/>
      <c r="I144" s="686"/>
      <c r="J144" s="686"/>
      <c r="K144" s="686"/>
      <c r="L144" s="686"/>
      <c r="M144" s="1"/>
      <c r="N144" s="1"/>
      <c r="O144" s="1"/>
      <c r="P144" s="1"/>
      <c r="Q144" s="1"/>
      <c r="R144" s="2"/>
      <c r="S144" s="2"/>
      <c r="T144" s="2"/>
      <c r="U144" s="2"/>
      <c r="V144" s="2"/>
    </row>
    <row r="145" spans="1:22">
      <c r="A145" s="677"/>
      <c r="B145" s="677"/>
      <c r="C145" s="1"/>
      <c r="D145" s="1"/>
      <c r="E145" s="1"/>
      <c r="F145" s="1"/>
      <c r="G145" s="1"/>
      <c r="H145" s="686"/>
      <c r="I145" s="686"/>
      <c r="J145" s="686"/>
      <c r="K145" s="686"/>
      <c r="L145" s="686"/>
      <c r="M145" s="1"/>
      <c r="N145" s="1"/>
      <c r="O145" s="1"/>
      <c r="P145" s="1"/>
      <c r="Q145" s="1"/>
      <c r="R145" s="2"/>
      <c r="S145" s="2"/>
      <c r="T145" s="2"/>
      <c r="U145" s="2"/>
      <c r="V145" s="2"/>
    </row>
    <row r="146" spans="1:22">
      <c r="A146" s="677"/>
      <c r="B146" s="677"/>
      <c r="C146" s="1"/>
      <c r="D146" s="1"/>
      <c r="E146" s="1"/>
      <c r="F146" s="1"/>
      <c r="G146" s="1"/>
      <c r="H146" s="686"/>
      <c r="I146" s="686"/>
      <c r="J146" s="686"/>
      <c r="K146" s="686"/>
      <c r="L146" s="686"/>
      <c r="M146" s="1"/>
      <c r="N146" s="1"/>
      <c r="O146" s="1"/>
      <c r="P146" s="1"/>
      <c r="Q146" s="1"/>
      <c r="R146" s="2"/>
      <c r="S146" s="2"/>
      <c r="T146" s="2"/>
      <c r="U146" s="2"/>
      <c r="V146" s="2"/>
    </row>
    <row r="147" spans="1:22">
      <c r="A147" s="677"/>
      <c r="B147" s="677"/>
      <c r="C147" s="1"/>
      <c r="D147" s="1"/>
      <c r="E147" s="1"/>
      <c r="F147" s="1"/>
      <c r="G147" s="1"/>
      <c r="H147" s="686"/>
      <c r="I147" s="686"/>
      <c r="J147" s="686"/>
      <c r="K147" s="686"/>
      <c r="L147" s="686"/>
      <c r="M147" s="1"/>
      <c r="N147" s="1"/>
      <c r="O147" s="1"/>
      <c r="P147" s="1"/>
      <c r="Q147" s="1"/>
      <c r="R147" s="2"/>
      <c r="S147" s="2"/>
      <c r="T147" s="2"/>
      <c r="U147" s="2"/>
      <c r="V147" s="2"/>
    </row>
  </sheetData>
  <mergeCells count="29">
    <mergeCell ref="A4:R4"/>
    <mergeCell ref="A1:C1"/>
    <mergeCell ref="J1:O1"/>
    <mergeCell ref="A2:C2"/>
    <mergeCell ref="J2:O2"/>
    <mergeCell ref="A3:R3"/>
    <mergeCell ref="Q1:R1"/>
    <mergeCell ref="A5:R5"/>
    <mergeCell ref="A7:A8"/>
    <mergeCell ref="B7:B8"/>
    <mergeCell ref="C7:C8"/>
    <mergeCell ref="D7:D8"/>
    <mergeCell ref="E7:E8"/>
    <mergeCell ref="F7:F8"/>
    <mergeCell ref="G7:G8"/>
    <mergeCell ref="H7:H8"/>
    <mergeCell ref="I7:I8"/>
    <mergeCell ref="O123:R123"/>
    <mergeCell ref="B118:L118"/>
    <mergeCell ref="B119:L119"/>
    <mergeCell ref="R7:R8"/>
    <mergeCell ref="J7:L7"/>
    <mergeCell ref="M7:M8"/>
    <mergeCell ref="N7:N8"/>
    <mergeCell ref="O7:O8"/>
    <mergeCell ref="P7:P8"/>
    <mergeCell ref="Q7:Q8"/>
    <mergeCell ref="O119:R119"/>
    <mergeCell ref="M118:R118"/>
  </mergeCells>
  <phoneticPr fontId="60" type="noConversion"/>
  <pageMargins left="0" right="0" top="0" bottom="0" header="0" footer="0"/>
  <pageSetup paperSize="9"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W130"/>
  <sheetViews>
    <sheetView zoomScale="114" workbookViewId="0">
      <selection sqref="A1:R130"/>
    </sheetView>
  </sheetViews>
  <sheetFormatPr defaultColWidth="8.6640625" defaultRowHeight="14"/>
  <cols>
    <col min="1" max="1" width="4.6640625" style="950" customWidth="1"/>
    <col min="2" max="2" width="33.4140625" style="950" customWidth="1"/>
    <col min="3" max="3" width="5.4140625" style="951" customWidth="1"/>
    <col min="4" max="4" width="6.4140625" style="952" customWidth="1"/>
    <col min="5" max="5" width="6.4140625" style="951" customWidth="1"/>
    <col min="6" max="6" width="5.58203125" style="951" customWidth="1"/>
    <col min="7" max="7" width="5.33203125" style="951" customWidth="1"/>
    <col min="8" max="8" width="10.08203125" style="952" customWidth="1"/>
    <col min="9" max="9" width="8.08203125" style="952" customWidth="1"/>
    <col min="10" max="10" width="8.33203125" style="952" customWidth="1"/>
    <col min="11" max="11" width="7.9140625" style="952" customWidth="1"/>
    <col min="12" max="12" width="6.6640625" style="952" customWidth="1"/>
    <col min="13" max="13" width="7.33203125" style="951" customWidth="1"/>
    <col min="14" max="15" width="6.6640625" style="951" customWidth="1"/>
    <col min="16" max="16" width="7" style="951" customWidth="1"/>
    <col min="17" max="17" width="8" style="951" customWidth="1"/>
    <col min="18" max="18" width="6.4140625" style="869" customWidth="1"/>
    <col min="19" max="16384" width="8.6640625" style="869"/>
  </cols>
  <sheetData>
    <row r="1" spans="1:23" ht="14.25" customHeight="1">
      <c r="A1" s="1312" t="s">
        <v>808</v>
      </c>
      <c r="B1" s="1312"/>
      <c r="C1" s="1312"/>
      <c r="D1" s="868"/>
      <c r="E1" s="675"/>
      <c r="F1" s="675"/>
      <c r="G1" s="675"/>
      <c r="H1" s="868"/>
      <c r="I1" s="865"/>
      <c r="J1" s="1338"/>
      <c r="K1" s="1338"/>
      <c r="L1" s="1338"/>
      <c r="M1" s="1338"/>
      <c r="N1" s="1338"/>
      <c r="O1" s="1338"/>
      <c r="P1" s="499"/>
      <c r="Q1" s="1353" t="s">
        <v>123</v>
      </c>
      <c r="R1" s="1353"/>
      <c r="S1" s="501"/>
      <c r="T1" s="501"/>
      <c r="U1" s="501"/>
      <c r="V1" s="501"/>
      <c r="W1" s="501"/>
    </row>
    <row r="2" spans="1:23">
      <c r="A2" s="1339" t="s">
        <v>923</v>
      </c>
      <c r="B2" s="1339"/>
      <c r="C2" s="1339"/>
      <c r="D2" s="870"/>
      <c r="E2" s="676"/>
      <c r="F2" s="676"/>
      <c r="G2" s="676"/>
      <c r="H2" s="870"/>
      <c r="I2" s="865"/>
      <c r="J2" s="1338"/>
      <c r="K2" s="1338"/>
      <c r="L2" s="1338"/>
      <c r="M2" s="1338"/>
      <c r="N2" s="1338"/>
      <c r="O2" s="1338"/>
      <c r="P2" s="499"/>
      <c r="Q2" s="499"/>
      <c r="R2" s="499"/>
      <c r="S2" s="501"/>
      <c r="T2" s="501"/>
      <c r="U2" s="501"/>
      <c r="V2" s="501"/>
      <c r="W2" s="501"/>
    </row>
    <row r="3" spans="1:23" ht="30" customHeight="1">
      <c r="A3" s="1340" t="s">
        <v>633</v>
      </c>
      <c r="B3" s="1340"/>
      <c r="C3" s="1340"/>
      <c r="D3" s="1340"/>
      <c r="E3" s="1340"/>
      <c r="F3" s="1340"/>
      <c r="G3" s="1340"/>
      <c r="H3" s="1340"/>
      <c r="I3" s="1340"/>
      <c r="J3" s="1340"/>
      <c r="K3" s="1340"/>
      <c r="L3" s="1340"/>
      <c r="M3" s="1340"/>
      <c r="N3" s="1340"/>
      <c r="O3" s="1340"/>
      <c r="P3" s="1340"/>
      <c r="Q3" s="1340"/>
      <c r="R3" s="1340"/>
      <c r="S3" s="501"/>
      <c r="T3" s="501"/>
      <c r="U3" s="501"/>
      <c r="V3" s="501"/>
      <c r="W3" s="501"/>
    </row>
    <row r="4" spans="1:23" ht="30" customHeight="1">
      <c r="A4" s="1354" t="s">
        <v>634</v>
      </c>
      <c r="B4" s="1354"/>
      <c r="C4" s="1354"/>
      <c r="D4" s="1354"/>
      <c r="E4" s="1354"/>
      <c r="F4" s="1354"/>
      <c r="G4" s="1354"/>
      <c r="H4" s="1354"/>
      <c r="I4" s="1354"/>
      <c r="J4" s="1354"/>
      <c r="K4" s="1354"/>
      <c r="L4" s="1354"/>
      <c r="M4" s="1354"/>
      <c r="N4" s="1354"/>
      <c r="O4" s="1354"/>
      <c r="P4" s="1354"/>
      <c r="Q4" s="1354"/>
      <c r="R4" s="1354"/>
      <c r="S4" s="501"/>
      <c r="T4" s="501"/>
      <c r="U4" s="501"/>
      <c r="V4" s="501"/>
      <c r="W4" s="501"/>
    </row>
    <row r="5" spans="1:23" ht="30" customHeight="1">
      <c r="A5" s="1342" t="s">
        <v>124</v>
      </c>
      <c r="B5" s="1342"/>
      <c r="C5" s="1342"/>
      <c r="D5" s="1342"/>
      <c r="E5" s="1342"/>
      <c r="F5" s="1342"/>
      <c r="G5" s="1342"/>
      <c r="H5" s="1342"/>
      <c r="I5" s="1342"/>
      <c r="J5" s="1342"/>
      <c r="K5" s="1342"/>
      <c r="L5" s="1342"/>
      <c r="M5" s="1342"/>
      <c r="N5" s="1342"/>
      <c r="O5" s="1342"/>
      <c r="P5" s="1342"/>
      <c r="Q5" s="1342"/>
      <c r="R5" s="1342"/>
      <c r="S5" s="501"/>
      <c r="T5" s="501"/>
      <c r="U5" s="501"/>
      <c r="V5" s="501"/>
      <c r="W5" s="501"/>
    </row>
    <row r="6" spans="1:23" ht="14.5" thickBot="1">
      <c r="A6" s="504"/>
      <c r="B6" s="504"/>
      <c r="C6" s="504"/>
      <c r="D6" s="871"/>
      <c r="E6" s="504"/>
      <c r="F6" s="504"/>
      <c r="G6" s="504"/>
      <c r="H6" s="871"/>
      <c r="I6" s="871"/>
      <c r="J6" s="871"/>
      <c r="K6" s="871"/>
      <c r="L6" s="871"/>
      <c r="M6" s="504"/>
      <c r="N6" s="504"/>
      <c r="O6" s="504" t="s">
        <v>125</v>
      </c>
      <c r="P6" s="504"/>
      <c r="Q6" s="504"/>
      <c r="R6" s="506"/>
      <c r="S6" s="501"/>
      <c r="T6" s="501"/>
      <c r="U6" s="501"/>
      <c r="V6" s="501"/>
      <c r="W6" s="501"/>
    </row>
    <row r="7" spans="1:23" s="872" customFormat="1" ht="122.25" customHeight="1">
      <c r="A7" s="1343" t="s">
        <v>5</v>
      </c>
      <c r="B7" s="1345" t="s">
        <v>126</v>
      </c>
      <c r="C7" s="1345" t="s">
        <v>127</v>
      </c>
      <c r="D7" s="1373" t="s">
        <v>635</v>
      </c>
      <c r="E7" s="1345" t="s">
        <v>128</v>
      </c>
      <c r="F7" s="1345" t="s">
        <v>515</v>
      </c>
      <c r="G7" s="1345" t="s">
        <v>516</v>
      </c>
      <c r="H7" s="1375" t="s">
        <v>339</v>
      </c>
      <c r="I7" s="1373" t="s">
        <v>742</v>
      </c>
      <c r="J7" s="1373" t="s">
        <v>130</v>
      </c>
      <c r="K7" s="1373"/>
      <c r="L7" s="1373"/>
      <c r="M7" s="1345" t="s">
        <v>131</v>
      </c>
      <c r="N7" s="1345" t="s">
        <v>132</v>
      </c>
      <c r="O7" s="1345" t="s">
        <v>133</v>
      </c>
      <c r="P7" s="1345" t="s">
        <v>134</v>
      </c>
      <c r="Q7" s="1345" t="s">
        <v>135</v>
      </c>
      <c r="R7" s="1351" t="s">
        <v>16</v>
      </c>
      <c r="S7" s="1370"/>
      <c r="T7" s="501"/>
      <c r="U7" s="501"/>
      <c r="V7" s="501"/>
      <c r="W7" s="501"/>
    </row>
    <row r="8" spans="1:23" s="872" customFormat="1" ht="63.75" customHeight="1">
      <c r="A8" s="1344"/>
      <c r="B8" s="1346"/>
      <c r="C8" s="1346"/>
      <c r="D8" s="1374"/>
      <c r="E8" s="1346"/>
      <c r="F8" s="1346"/>
      <c r="G8" s="1346"/>
      <c r="H8" s="1376"/>
      <c r="I8" s="1374"/>
      <c r="J8" s="873" t="s">
        <v>136</v>
      </c>
      <c r="K8" s="873" t="s">
        <v>137</v>
      </c>
      <c r="L8" s="873" t="s">
        <v>138</v>
      </c>
      <c r="M8" s="1346"/>
      <c r="N8" s="1346"/>
      <c r="O8" s="1346"/>
      <c r="P8" s="1346"/>
      <c r="Q8" s="1346"/>
      <c r="R8" s="1352"/>
      <c r="S8" s="1370"/>
      <c r="T8" s="501"/>
      <c r="U8" s="501"/>
      <c r="V8" s="501"/>
      <c r="W8" s="501"/>
    </row>
    <row r="9" spans="1:23" s="878" customFormat="1" ht="27.75" customHeight="1">
      <c r="A9" s="874" t="s">
        <v>139</v>
      </c>
      <c r="B9" s="701" t="s">
        <v>140</v>
      </c>
      <c r="C9" s="701" t="s">
        <v>141</v>
      </c>
      <c r="D9" s="873" t="s">
        <v>142</v>
      </c>
      <c r="E9" s="702" t="s">
        <v>143</v>
      </c>
      <c r="F9" s="702" t="s">
        <v>193</v>
      </c>
      <c r="G9" s="702" t="s">
        <v>144</v>
      </c>
      <c r="H9" s="873" t="s">
        <v>741</v>
      </c>
      <c r="I9" s="875" t="s">
        <v>246</v>
      </c>
      <c r="J9" s="873" t="s">
        <v>145</v>
      </c>
      <c r="K9" s="873" t="s">
        <v>146</v>
      </c>
      <c r="L9" s="873" t="s">
        <v>147</v>
      </c>
      <c r="M9" s="702" t="s">
        <v>148</v>
      </c>
      <c r="N9" s="702" t="s">
        <v>149</v>
      </c>
      <c r="O9" s="702" t="s">
        <v>150</v>
      </c>
      <c r="P9" s="702" t="s">
        <v>151</v>
      </c>
      <c r="Q9" s="702" t="s">
        <v>152</v>
      </c>
      <c r="R9" s="876" t="s">
        <v>517</v>
      </c>
      <c r="S9" s="877"/>
      <c r="T9" s="508"/>
      <c r="U9" s="508"/>
      <c r="V9" s="508"/>
      <c r="W9" s="508"/>
    </row>
    <row r="10" spans="1:23" s="878" customFormat="1" ht="20.149999999999999" customHeight="1">
      <c r="A10" s="874"/>
      <c r="B10" s="700" t="s">
        <v>923</v>
      </c>
      <c r="C10" s="879">
        <f>C11+C21</f>
        <v>248</v>
      </c>
      <c r="D10" s="879"/>
      <c r="E10" s="1233">
        <f>E11+E21</f>
        <v>68</v>
      </c>
      <c r="F10" s="879"/>
      <c r="G10" s="879"/>
      <c r="H10" s="1098">
        <f>H11+H21</f>
        <v>10274.299999999999</v>
      </c>
      <c r="I10" s="1098">
        <f>I11+I21</f>
        <v>9243</v>
      </c>
      <c r="J10" s="1098">
        <f>J11+J21</f>
        <v>6143</v>
      </c>
      <c r="K10" s="1098">
        <f>K11+K21</f>
        <v>527.5</v>
      </c>
      <c r="L10" s="1098">
        <f>L11+L21</f>
        <v>2556</v>
      </c>
      <c r="M10" s="1220">
        <f>'Bieu 3a-Tong gio chuan chi tiet'!E50</f>
        <v>3780</v>
      </c>
      <c r="N10" s="1220">
        <f>'Bieu 3a-Tong gio chuan chi tiet'!M50</f>
        <v>2944.5</v>
      </c>
      <c r="O10" s="1220">
        <f>J10-N10</f>
        <v>3198.5</v>
      </c>
      <c r="P10" s="1220">
        <f>'Bieu 3a-Tong gio chuan chi tiet'!M50</f>
        <v>2944.5</v>
      </c>
      <c r="Q10" s="1220">
        <f>'Bieu 3a-Tong gio chuan chi tiet'!O50</f>
        <v>2086.25</v>
      </c>
      <c r="R10" s="880"/>
      <c r="S10" s="881"/>
      <c r="T10" s="508"/>
      <c r="U10" s="508"/>
      <c r="V10" s="508"/>
      <c r="W10" s="508"/>
    </row>
    <row r="11" spans="1:23" s="872" customFormat="1" ht="29.15" customHeight="1">
      <c r="A11" s="882" t="s">
        <v>19</v>
      </c>
      <c r="B11" s="707" t="s">
        <v>153</v>
      </c>
      <c r="C11" s="706">
        <f>C12+C15+C18</f>
        <v>216</v>
      </c>
      <c r="D11" s="706"/>
      <c r="E11" s="706">
        <f>E12+E15+E18</f>
        <v>68</v>
      </c>
      <c r="F11" s="706"/>
      <c r="G11" s="706"/>
      <c r="H11" s="1021">
        <f>H12+H15+H18</f>
        <v>7074.3</v>
      </c>
      <c r="I11" s="1021">
        <f>I12+I15+I18</f>
        <v>7659</v>
      </c>
      <c r="J11" s="1021">
        <f>J12+J15+J18</f>
        <v>4559</v>
      </c>
      <c r="K11" s="1021">
        <f>K12+K15+K18</f>
        <v>527.5</v>
      </c>
      <c r="L11" s="1021">
        <f>L12+L15+L18</f>
        <v>2556</v>
      </c>
      <c r="M11" s="706"/>
      <c r="N11" s="706"/>
      <c r="O11" s="706"/>
      <c r="P11" s="706"/>
      <c r="Q11" s="706"/>
      <c r="R11" s="883"/>
      <c r="S11" s="501"/>
      <c r="T11" s="501"/>
      <c r="U11" s="501"/>
      <c r="V11" s="501"/>
      <c r="W11" s="501"/>
    </row>
    <row r="12" spans="1:23" s="887" customFormat="1" ht="20.149999999999999" customHeight="1">
      <c r="A12" s="882">
        <v>1</v>
      </c>
      <c r="B12" s="707" t="s">
        <v>20</v>
      </c>
      <c r="C12" s="884">
        <f>SUM(C13:C14)</f>
        <v>157</v>
      </c>
      <c r="D12" s="884"/>
      <c r="E12" s="884">
        <f t="shared" ref="E12:L12" si="0">SUM(E13:E14)</f>
        <v>43</v>
      </c>
      <c r="F12" s="884"/>
      <c r="G12" s="884"/>
      <c r="H12" s="989">
        <f t="shared" si="0"/>
        <v>3735.3</v>
      </c>
      <c r="I12" s="989">
        <f t="shared" si="0"/>
        <v>2634</v>
      </c>
      <c r="J12" s="989">
        <f>SUM(J13:J14)</f>
        <v>1881</v>
      </c>
      <c r="K12" s="989">
        <f t="shared" si="0"/>
        <v>165</v>
      </c>
      <c r="L12" s="989">
        <f t="shared" si="0"/>
        <v>423</v>
      </c>
      <c r="M12" s="885"/>
      <c r="N12" s="885"/>
      <c r="O12" s="885"/>
      <c r="P12" s="885"/>
      <c r="Q12" s="885"/>
      <c r="R12" s="886"/>
      <c r="S12" s="512"/>
      <c r="T12" s="512"/>
      <c r="U12" s="512"/>
      <c r="V12" s="512"/>
      <c r="W12" s="512"/>
    </row>
    <row r="13" spans="1:23" s="684" customFormat="1" ht="20.149999999999999" customHeight="1">
      <c r="A13" s="867"/>
      <c r="B13" s="714" t="s">
        <v>1370</v>
      </c>
      <c r="C13" s="712">
        <f>C28+C69+C99</f>
        <v>78</v>
      </c>
      <c r="D13" s="712"/>
      <c r="E13" s="712">
        <f t="shared" ref="E13:L13" si="1">E28+E69+E99</f>
        <v>21</v>
      </c>
      <c r="F13" s="712"/>
      <c r="G13" s="712"/>
      <c r="H13" s="712">
        <f t="shared" si="1"/>
        <v>1925.2</v>
      </c>
      <c r="I13" s="712">
        <f t="shared" si="1"/>
        <v>1311</v>
      </c>
      <c r="J13" s="712">
        <f>J28+J69+J99</f>
        <v>936</v>
      </c>
      <c r="K13" s="712">
        <f t="shared" si="1"/>
        <v>82.5</v>
      </c>
      <c r="L13" s="712">
        <f t="shared" si="1"/>
        <v>243</v>
      </c>
      <c r="M13" s="715"/>
      <c r="N13" s="715"/>
      <c r="O13" s="715"/>
      <c r="P13" s="713"/>
      <c r="Q13" s="716"/>
      <c r="R13" s="729"/>
      <c r="S13" s="531"/>
      <c r="T13" s="531"/>
      <c r="U13" s="531"/>
      <c r="V13" s="531"/>
      <c r="W13" s="531"/>
    </row>
    <row r="14" spans="1:23" s="684" customFormat="1" ht="20.149999999999999" customHeight="1">
      <c r="A14" s="867"/>
      <c r="B14" s="711" t="s">
        <v>1371</v>
      </c>
      <c r="C14" s="712">
        <f>C32+C77+C111</f>
        <v>79</v>
      </c>
      <c r="D14" s="712"/>
      <c r="E14" s="712">
        <f t="shared" ref="E14:L14" si="2">E32+E77+E111</f>
        <v>22</v>
      </c>
      <c r="F14" s="712"/>
      <c r="G14" s="712"/>
      <c r="H14" s="712">
        <f t="shared" si="2"/>
        <v>1810.1000000000001</v>
      </c>
      <c r="I14" s="712">
        <f t="shared" si="2"/>
        <v>1323</v>
      </c>
      <c r="J14" s="712">
        <f t="shared" si="2"/>
        <v>945</v>
      </c>
      <c r="K14" s="712">
        <f t="shared" si="2"/>
        <v>82.5</v>
      </c>
      <c r="L14" s="712">
        <f t="shared" si="2"/>
        <v>180</v>
      </c>
      <c r="M14" s="715"/>
      <c r="N14" s="715"/>
      <c r="O14" s="715"/>
      <c r="P14" s="713"/>
      <c r="Q14" s="716"/>
      <c r="R14" s="729"/>
      <c r="S14" s="531"/>
      <c r="T14" s="531"/>
      <c r="U14" s="531"/>
      <c r="V14" s="531"/>
      <c r="W14" s="531"/>
    </row>
    <row r="15" spans="1:23" s="890" customFormat="1" ht="20.149999999999999" customHeight="1">
      <c r="A15" s="882">
        <v>2</v>
      </c>
      <c r="B15" s="707" t="s">
        <v>523</v>
      </c>
      <c r="C15" s="718">
        <f>SUM(C16:C17)</f>
        <v>53</v>
      </c>
      <c r="D15" s="718"/>
      <c r="E15" s="718">
        <f t="shared" ref="E15:L15" si="3">SUM(E16:E17)</f>
        <v>25</v>
      </c>
      <c r="F15" s="718"/>
      <c r="G15" s="718"/>
      <c r="H15" s="979">
        <f t="shared" si="3"/>
        <v>3300</v>
      </c>
      <c r="I15" s="979">
        <f t="shared" si="3"/>
        <v>4476</v>
      </c>
      <c r="J15" s="979">
        <f>SUM(J16:J17)</f>
        <v>2385</v>
      </c>
      <c r="K15" s="979">
        <f t="shared" si="3"/>
        <v>298.5</v>
      </c>
      <c r="L15" s="979">
        <f t="shared" si="3"/>
        <v>1941</v>
      </c>
      <c r="M15" s="888"/>
      <c r="N15" s="888"/>
      <c r="O15" s="888"/>
      <c r="P15" s="888"/>
      <c r="Q15" s="888"/>
      <c r="R15" s="889"/>
      <c r="S15" s="515"/>
      <c r="T15" s="515"/>
      <c r="U15" s="515"/>
      <c r="V15" s="515"/>
      <c r="W15" s="515"/>
    </row>
    <row r="16" spans="1:23" s="684" customFormat="1" ht="20.149999999999999" customHeight="1">
      <c r="A16" s="867"/>
      <c r="B16" s="714" t="s">
        <v>1370</v>
      </c>
      <c r="C16" s="712">
        <f>C37</f>
        <v>29</v>
      </c>
      <c r="D16" s="712"/>
      <c r="E16" s="712">
        <f t="shared" ref="E16:L16" si="4">E37</f>
        <v>25</v>
      </c>
      <c r="F16" s="712"/>
      <c r="G16" s="712"/>
      <c r="H16" s="978">
        <f t="shared" si="4"/>
        <v>1860</v>
      </c>
      <c r="I16" s="978">
        <f t="shared" si="4"/>
        <v>3288</v>
      </c>
      <c r="J16" s="978">
        <f>J37</f>
        <v>1642.5</v>
      </c>
      <c r="K16" s="978">
        <f t="shared" si="4"/>
        <v>150</v>
      </c>
      <c r="L16" s="978">
        <f t="shared" si="4"/>
        <v>1644</v>
      </c>
      <c r="M16" s="715"/>
      <c r="N16" s="715"/>
      <c r="O16" s="715"/>
      <c r="P16" s="713"/>
      <c r="Q16" s="716"/>
      <c r="R16" s="729"/>
      <c r="S16" s="531"/>
      <c r="T16" s="531"/>
      <c r="U16" s="531"/>
      <c r="V16" s="531"/>
      <c r="W16" s="531"/>
    </row>
    <row r="17" spans="1:23" s="684" customFormat="1" ht="20.149999999999999" customHeight="1">
      <c r="A17" s="867"/>
      <c r="B17" s="711" t="s">
        <v>1371</v>
      </c>
      <c r="C17" s="712">
        <f>C47</f>
        <v>24</v>
      </c>
      <c r="D17" s="712"/>
      <c r="E17" s="712">
        <f t="shared" ref="E17:L17" si="5">E47</f>
        <v>0</v>
      </c>
      <c r="F17" s="712"/>
      <c r="G17" s="712"/>
      <c r="H17" s="978">
        <f t="shared" si="5"/>
        <v>1440</v>
      </c>
      <c r="I17" s="978">
        <f t="shared" si="5"/>
        <v>1188</v>
      </c>
      <c r="J17" s="978">
        <f t="shared" si="5"/>
        <v>742.5</v>
      </c>
      <c r="K17" s="978">
        <f t="shared" si="5"/>
        <v>148.5</v>
      </c>
      <c r="L17" s="978">
        <f t="shared" si="5"/>
        <v>297</v>
      </c>
      <c r="M17" s="715"/>
      <c r="N17" s="715"/>
      <c r="O17" s="715"/>
      <c r="P17" s="713"/>
      <c r="Q17" s="716"/>
      <c r="R17" s="729"/>
      <c r="S17" s="531"/>
      <c r="T17" s="531"/>
      <c r="U17" s="531"/>
      <c r="V17" s="531"/>
      <c r="W17" s="531"/>
    </row>
    <row r="18" spans="1:23" s="890" customFormat="1" ht="20.149999999999999" customHeight="1">
      <c r="A18" s="882">
        <v>3</v>
      </c>
      <c r="B18" s="707" t="s">
        <v>171</v>
      </c>
      <c r="C18" s="708">
        <f>SUM(C19:C20)</f>
        <v>6</v>
      </c>
      <c r="D18" s="708"/>
      <c r="E18" s="708">
        <f t="shared" ref="E18:L18" si="6">SUM(E19:E20)</f>
        <v>0</v>
      </c>
      <c r="F18" s="708"/>
      <c r="G18" s="708"/>
      <c r="H18" s="977">
        <f t="shared" si="6"/>
        <v>39</v>
      </c>
      <c r="I18" s="977">
        <f t="shared" si="6"/>
        <v>549</v>
      </c>
      <c r="J18" s="977">
        <f t="shared" si="6"/>
        <v>293</v>
      </c>
      <c r="K18" s="977">
        <f t="shared" si="6"/>
        <v>64</v>
      </c>
      <c r="L18" s="977">
        <f t="shared" si="6"/>
        <v>192</v>
      </c>
      <c r="M18" s="888"/>
      <c r="N18" s="888"/>
      <c r="O18" s="888"/>
      <c r="P18" s="888"/>
      <c r="Q18" s="888"/>
      <c r="R18" s="889"/>
      <c r="S18" s="515"/>
      <c r="T18" s="515"/>
      <c r="U18" s="515"/>
      <c r="V18" s="515"/>
      <c r="W18" s="515"/>
    </row>
    <row r="19" spans="1:23" s="684" customFormat="1" ht="20.149999999999999" customHeight="1">
      <c r="A19" s="867"/>
      <c r="B19" s="714" t="s">
        <v>1370</v>
      </c>
      <c r="C19" s="712">
        <f>C57</f>
        <v>0</v>
      </c>
      <c r="D19" s="712"/>
      <c r="E19" s="712">
        <f t="shared" ref="E19:L19" si="7">E57</f>
        <v>0</v>
      </c>
      <c r="F19" s="712"/>
      <c r="G19" s="712"/>
      <c r="H19" s="978">
        <f t="shared" si="7"/>
        <v>9</v>
      </c>
      <c r="I19" s="978">
        <f t="shared" si="7"/>
        <v>450</v>
      </c>
      <c r="J19" s="978">
        <f t="shared" si="7"/>
        <v>194</v>
      </c>
      <c r="K19" s="978">
        <f t="shared" si="7"/>
        <v>64</v>
      </c>
      <c r="L19" s="978">
        <f t="shared" si="7"/>
        <v>192</v>
      </c>
      <c r="M19" s="715"/>
      <c r="N19" s="715"/>
      <c r="O19" s="715"/>
      <c r="P19" s="713"/>
      <c r="Q19" s="716"/>
      <c r="R19" s="729"/>
      <c r="S19" s="531"/>
      <c r="T19" s="531"/>
      <c r="U19" s="531"/>
      <c r="V19" s="531"/>
      <c r="W19" s="531"/>
    </row>
    <row r="20" spans="1:23" s="684" customFormat="1" ht="20.149999999999999" customHeight="1">
      <c r="A20" s="867"/>
      <c r="B20" s="711" t="s">
        <v>1371</v>
      </c>
      <c r="C20" s="712">
        <f>C59</f>
        <v>6</v>
      </c>
      <c r="D20" s="712"/>
      <c r="E20" s="712">
        <f t="shared" ref="E20:L20" si="8">E59</f>
        <v>0</v>
      </c>
      <c r="F20" s="712"/>
      <c r="G20" s="712"/>
      <c r="H20" s="978">
        <f t="shared" si="8"/>
        <v>30</v>
      </c>
      <c r="I20" s="978">
        <f t="shared" si="8"/>
        <v>99</v>
      </c>
      <c r="J20" s="978">
        <f t="shared" si="8"/>
        <v>99</v>
      </c>
      <c r="K20" s="978">
        <f t="shared" si="8"/>
        <v>0</v>
      </c>
      <c r="L20" s="978">
        <f t="shared" si="8"/>
        <v>0</v>
      </c>
      <c r="M20" s="715"/>
      <c r="N20" s="715"/>
      <c r="O20" s="715"/>
      <c r="P20" s="713"/>
      <c r="Q20" s="716"/>
      <c r="R20" s="729"/>
      <c r="S20" s="531"/>
      <c r="T20" s="531"/>
      <c r="U20" s="531"/>
      <c r="V20" s="531"/>
      <c r="W20" s="531"/>
    </row>
    <row r="21" spans="1:23" s="890" customFormat="1" ht="30.9" customHeight="1">
      <c r="A21" s="882" t="s">
        <v>41</v>
      </c>
      <c r="B21" s="707" t="s">
        <v>175</v>
      </c>
      <c r="C21" s="708">
        <f>C22</f>
        <v>32</v>
      </c>
      <c r="D21" s="708"/>
      <c r="E21" s="708">
        <f t="shared" ref="E21:L21" si="9">E22</f>
        <v>0</v>
      </c>
      <c r="F21" s="708"/>
      <c r="G21" s="708"/>
      <c r="H21" s="977">
        <f t="shared" si="9"/>
        <v>3200</v>
      </c>
      <c r="I21" s="977">
        <f>I22</f>
        <v>1584</v>
      </c>
      <c r="J21" s="977">
        <f>J22</f>
        <v>1584</v>
      </c>
      <c r="K21" s="977">
        <f t="shared" si="9"/>
        <v>0</v>
      </c>
      <c r="L21" s="977">
        <f t="shared" si="9"/>
        <v>0</v>
      </c>
      <c r="M21" s="888"/>
      <c r="N21" s="888"/>
      <c r="O21" s="888"/>
      <c r="P21" s="888"/>
      <c r="Q21" s="888"/>
      <c r="R21" s="889"/>
      <c r="S21" s="515"/>
      <c r="T21" s="515"/>
      <c r="U21" s="515"/>
      <c r="V21" s="515"/>
      <c r="W21" s="515"/>
    </row>
    <row r="22" spans="1:23" s="892" customFormat="1" ht="20.149999999999999" customHeight="1">
      <c r="A22" s="882">
        <v>1</v>
      </c>
      <c r="B22" s="550" t="s">
        <v>176</v>
      </c>
      <c r="C22" s="708">
        <f>SUM(C23:C24)</f>
        <v>32</v>
      </c>
      <c r="D22" s="708"/>
      <c r="E22" s="708">
        <f t="shared" ref="E22:L22" si="10">SUM(E23:E24)</f>
        <v>0</v>
      </c>
      <c r="F22" s="708"/>
      <c r="G22" s="708"/>
      <c r="H22" s="977">
        <f t="shared" si="10"/>
        <v>3200</v>
      </c>
      <c r="I22" s="977">
        <f t="shared" si="10"/>
        <v>1584</v>
      </c>
      <c r="J22" s="977">
        <f t="shared" si="10"/>
        <v>1584</v>
      </c>
      <c r="K22" s="977">
        <f t="shared" si="10"/>
        <v>0</v>
      </c>
      <c r="L22" s="977">
        <f t="shared" si="10"/>
        <v>0</v>
      </c>
      <c r="M22" s="708"/>
      <c r="N22" s="708"/>
      <c r="O22" s="708"/>
      <c r="P22" s="708"/>
      <c r="Q22" s="708"/>
      <c r="R22" s="891"/>
      <c r="S22" s="530"/>
      <c r="T22" s="530"/>
      <c r="U22" s="530"/>
      <c r="V22" s="530"/>
      <c r="W22" s="530"/>
    </row>
    <row r="23" spans="1:23" s="684" customFormat="1" ht="20.149999999999999" customHeight="1">
      <c r="A23" s="867"/>
      <c r="B23" s="714" t="s">
        <v>1370</v>
      </c>
      <c r="C23" s="712">
        <f>C85</f>
        <v>17</v>
      </c>
      <c r="D23" s="712"/>
      <c r="E23" s="712">
        <f t="shared" ref="E23:L23" si="11">E85</f>
        <v>0</v>
      </c>
      <c r="F23" s="712"/>
      <c r="G23" s="712"/>
      <c r="H23" s="712">
        <f t="shared" si="11"/>
        <v>1700</v>
      </c>
      <c r="I23" s="712">
        <f t="shared" si="11"/>
        <v>841.5</v>
      </c>
      <c r="J23" s="712">
        <f t="shared" si="11"/>
        <v>841.5</v>
      </c>
      <c r="K23" s="712">
        <f t="shared" si="11"/>
        <v>0</v>
      </c>
      <c r="L23" s="712">
        <f t="shared" si="11"/>
        <v>0</v>
      </c>
      <c r="M23" s="715"/>
      <c r="N23" s="715"/>
      <c r="O23" s="715"/>
      <c r="P23" s="713"/>
      <c r="Q23" s="716"/>
      <c r="R23" s="729"/>
      <c r="S23" s="531"/>
      <c r="T23" s="531"/>
      <c r="U23" s="531"/>
      <c r="V23" s="531"/>
      <c r="W23" s="531"/>
    </row>
    <row r="24" spans="1:23" s="684" customFormat="1" ht="20.149999999999999" customHeight="1">
      <c r="A24" s="867"/>
      <c r="B24" s="711" t="s">
        <v>1371</v>
      </c>
      <c r="C24" s="712">
        <f>C91</f>
        <v>15</v>
      </c>
      <c r="D24" s="712"/>
      <c r="E24" s="712">
        <f t="shared" ref="E24:L24" si="12">E91</f>
        <v>0</v>
      </c>
      <c r="F24" s="712"/>
      <c r="G24" s="712"/>
      <c r="H24" s="712">
        <f t="shared" si="12"/>
        <v>1500</v>
      </c>
      <c r="I24" s="712">
        <f t="shared" si="12"/>
        <v>742.5</v>
      </c>
      <c r="J24" s="712">
        <f t="shared" si="12"/>
        <v>742.5</v>
      </c>
      <c r="K24" s="712">
        <f t="shared" si="12"/>
        <v>0</v>
      </c>
      <c r="L24" s="712">
        <f t="shared" si="12"/>
        <v>0</v>
      </c>
      <c r="M24" s="715"/>
      <c r="N24" s="715"/>
      <c r="O24" s="715"/>
      <c r="P24" s="713"/>
      <c r="Q24" s="716"/>
      <c r="R24" s="729"/>
      <c r="S24" s="531"/>
      <c r="T24" s="531"/>
      <c r="U24" s="531"/>
      <c r="V24" s="531"/>
      <c r="W24" s="531"/>
    </row>
    <row r="25" spans="1:23" s="872" customFormat="1" ht="20.149999999999999" customHeight="1">
      <c r="A25" s="882" t="s">
        <v>17</v>
      </c>
      <c r="B25" s="707" t="s">
        <v>809</v>
      </c>
      <c r="C25" s="893">
        <f>C26</f>
        <v>81</v>
      </c>
      <c r="D25" s="894"/>
      <c r="E25" s="893">
        <f>E26+E36+E56</f>
        <v>6</v>
      </c>
      <c r="F25" s="893"/>
      <c r="G25" s="893"/>
      <c r="H25" s="1099">
        <f>H26+H66</f>
        <v>3816</v>
      </c>
      <c r="I25" s="1099">
        <f>I26+I66</f>
        <v>5388</v>
      </c>
      <c r="J25" s="1099">
        <f>J26+J66</f>
        <v>2991.5</v>
      </c>
      <c r="K25" s="1099">
        <f>K26+K66</f>
        <v>362.5</v>
      </c>
      <c r="L25" s="1099">
        <f>L26+L66</f>
        <v>2182.5</v>
      </c>
      <c r="M25" s="893"/>
      <c r="N25" s="893"/>
      <c r="O25" s="893"/>
      <c r="P25" s="893"/>
      <c r="Q25" s="893"/>
      <c r="R25" s="880"/>
      <c r="S25" s="501"/>
      <c r="T25" s="501"/>
      <c r="U25" s="501"/>
      <c r="V25" s="501"/>
      <c r="W25" s="501"/>
    </row>
    <row r="26" spans="1:23" s="872" customFormat="1" ht="30" customHeight="1">
      <c r="A26" s="882" t="s">
        <v>1387</v>
      </c>
      <c r="B26" s="707" t="s">
        <v>810</v>
      </c>
      <c r="C26" s="893">
        <f>C27+C36+C56</f>
        <v>81</v>
      </c>
      <c r="D26" s="894"/>
      <c r="E26" s="893">
        <f>E27+E36+E56</f>
        <v>6</v>
      </c>
      <c r="F26" s="893"/>
      <c r="G26" s="893"/>
      <c r="H26" s="1099">
        <f>H27+H36+H56</f>
        <v>3816</v>
      </c>
      <c r="I26" s="1099">
        <f>I27+I36+I56</f>
        <v>5388</v>
      </c>
      <c r="J26" s="1099">
        <f>J27+J36+J56</f>
        <v>2991.5</v>
      </c>
      <c r="K26" s="1099">
        <f>K27+K36+K56</f>
        <v>362.5</v>
      </c>
      <c r="L26" s="1099">
        <f>L27+L36+L56</f>
        <v>2182.5</v>
      </c>
      <c r="M26" s="893"/>
      <c r="N26" s="893"/>
      <c r="O26" s="893"/>
      <c r="P26" s="893"/>
      <c r="Q26" s="893"/>
      <c r="R26" s="880"/>
      <c r="S26" s="501"/>
      <c r="T26" s="501"/>
      <c r="U26" s="501"/>
      <c r="V26" s="501"/>
      <c r="W26" s="501"/>
    </row>
    <row r="27" spans="1:23" s="872" customFormat="1" ht="20.149999999999999" customHeight="1">
      <c r="A27" s="882">
        <v>1</v>
      </c>
      <c r="B27" s="707" t="s">
        <v>20</v>
      </c>
      <c r="C27" s="893">
        <f>C28+C32</f>
        <v>22</v>
      </c>
      <c r="D27" s="893"/>
      <c r="E27" s="893">
        <f t="shared" ref="E27" si="13">E28+E32</f>
        <v>6</v>
      </c>
      <c r="F27" s="893"/>
      <c r="G27" s="893"/>
      <c r="H27" s="1099">
        <f t="shared" ref="H27:L27" si="14">H28+H32</f>
        <v>477</v>
      </c>
      <c r="I27" s="1099">
        <f t="shared" si="14"/>
        <v>363</v>
      </c>
      <c r="J27" s="1099">
        <f t="shared" si="14"/>
        <v>313.5</v>
      </c>
      <c r="K27" s="1099">
        <f t="shared" si="14"/>
        <v>0</v>
      </c>
      <c r="L27" s="1099">
        <f t="shared" si="14"/>
        <v>49.5</v>
      </c>
      <c r="M27" s="893"/>
      <c r="N27" s="893"/>
      <c r="O27" s="893"/>
      <c r="P27" s="893"/>
      <c r="Q27" s="893"/>
      <c r="R27" s="880"/>
      <c r="S27" s="501"/>
      <c r="T27" s="501"/>
      <c r="U27" s="501"/>
      <c r="V27" s="501"/>
      <c r="W27" s="501"/>
    </row>
    <row r="28" spans="1:23" s="887" customFormat="1" ht="20.149999999999999" customHeight="1">
      <c r="A28" s="895" t="s">
        <v>154</v>
      </c>
      <c r="B28" s="896" t="s">
        <v>1386</v>
      </c>
      <c r="C28" s="897">
        <f>SUM(C29:C31)</f>
        <v>13</v>
      </c>
      <c r="D28" s="897"/>
      <c r="E28" s="897">
        <f t="shared" ref="E28:L28" si="15">SUM(E29:E31)</f>
        <v>3</v>
      </c>
      <c r="F28" s="897"/>
      <c r="G28" s="897"/>
      <c r="H28" s="897">
        <f t="shared" si="15"/>
        <v>249</v>
      </c>
      <c r="I28" s="897">
        <f t="shared" si="15"/>
        <v>214.5</v>
      </c>
      <c r="J28" s="897">
        <f t="shared" si="15"/>
        <v>214.5</v>
      </c>
      <c r="K28" s="897">
        <f t="shared" si="15"/>
        <v>0</v>
      </c>
      <c r="L28" s="897">
        <f t="shared" si="15"/>
        <v>0</v>
      </c>
      <c r="M28" s="899"/>
      <c r="N28" s="899"/>
      <c r="O28" s="899"/>
      <c r="P28" s="899"/>
      <c r="Q28" s="899"/>
      <c r="R28" s="900"/>
      <c r="S28" s="512"/>
      <c r="T28" s="512"/>
      <c r="U28" s="512"/>
      <c r="V28" s="512"/>
      <c r="W28" s="512"/>
    </row>
    <row r="29" spans="1:23" s="890" customFormat="1" ht="20.149999999999999" customHeight="1">
      <c r="A29" s="901" t="s">
        <v>155</v>
      </c>
      <c r="B29" s="902" t="s">
        <v>811</v>
      </c>
      <c r="C29" s="903">
        <v>4</v>
      </c>
      <c r="D29" s="904">
        <v>1</v>
      </c>
      <c r="E29" s="903">
        <v>1</v>
      </c>
      <c r="F29" s="903">
        <v>1</v>
      </c>
      <c r="G29" s="903">
        <v>25</v>
      </c>
      <c r="H29" s="1101">
        <f>C29*D29*G29</f>
        <v>100</v>
      </c>
      <c r="I29" s="1102">
        <f t="shared" ref="I29:I34" si="16" xml:space="preserve"> C29*E29*F29*16.5</f>
        <v>66</v>
      </c>
      <c r="J29" s="1103">
        <v>66</v>
      </c>
      <c r="K29" s="1104">
        <v>0</v>
      </c>
      <c r="L29" s="1104">
        <v>0</v>
      </c>
      <c r="M29" s="906"/>
      <c r="N29" s="906"/>
      <c r="O29" s="906"/>
      <c r="P29" s="906"/>
      <c r="Q29" s="906"/>
      <c r="R29" s="907"/>
      <c r="S29" s="515"/>
      <c r="T29" s="515"/>
      <c r="U29" s="515"/>
      <c r="V29" s="515"/>
      <c r="W29" s="515"/>
    </row>
    <row r="30" spans="1:23" s="890" customFormat="1" ht="20.149999999999999" customHeight="1">
      <c r="A30" s="901" t="s">
        <v>156</v>
      </c>
      <c r="B30" s="902" t="s">
        <v>812</v>
      </c>
      <c r="C30" s="903">
        <v>4</v>
      </c>
      <c r="D30" s="904">
        <v>1</v>
      </c>
      <c r="E30" s="903">
        <v>1</v>
      </c>
      <c r="F30" s="903">
        <v>1</v>
      </c>
      <c r="G30" s="903">
        <v>25</v>
      </c>
      <c r="H30" s="1101">
        <f t="shared" ref="H30:H35" si="17">C30*D30*G30</f>
        <v>100</v>
      </c>
      <c r="I30" s="1102">
        <f t="shared" si="16"/>
        <v>66</v>
      </c>
      <c r="J30" s="1103">
        <v>66</v>
      </c>
      <c r="K30" s="1104">
        <v>0</v>
      </c>
      <c r="L30" s="1104">
        <v>0</v>
      </c>
      <c r="M30" s="906"/>
      <c r="N30" s="906"/>
      <c r="O30" s="906"/>
      <c r="P30" s="906"/>
      <c r="Q30" s="906"/>
      <c r="R30" s="907"/>
      <c r="S30" s="515"/>
      <c r="T30" s="515"/>
      <c r="U30" s="515"/>
      <c r="V30" s="515"/>
      <c r="W30" s="515"/>
    </row>
    <row r="31" spans="1:23" s="890" customFormat="1" ht="20.149999999999999" customHeight="1">
      <c r="A31" s="908" t="s">
        <v>157</v>
      </c>
      <c r="B31" s="902" t="s">
        <v>815</v>
      </c>
      <c r="C31" s="903">
        <v>5</v>
      </c>
      <c r="D31" s="904">
        <v>1.4</v>
      </c>
      <c r="E31" s="903">
        <v>1</v>
      </c>
      <c r="F31" s="903">
        <v>1</v>
      </c>
      <c r="G31" s="903">
        <v>7</v>
      </c>
      <c r="H31" s="1101">
        <f>C31*D31*G31</f>
        <v>49</v>
      </c>
      <c r="I31" s="1102">
        <f>C31*E31*F31*16.5</f>
        <v>82.5</v>
      </c>
      <c r="J31" s="1103">
        <v>82.5</v>
      </c>
      <c r="K31" s="1103">
        <v>0</v>
      </c>
      <c r="L31" s="1103">
        <v>0</v>
      </c>
      <c r="M31" s="909"/>
      <c r="N31" s="909"/>
      <c r="O31" s="909"/>
      <c r="P31" s="909"/>
      <c r="Q31" s="909"/>
      <c r="R31" s="910"/>
      <c r="S31" s="515"/>
      <c r="T31" s="515"/>
      <c r="U31" s="515"/>
      <c r="V31" s="515"/>
      <c r="W31" s="515"/>
    </row>
    <row r="32" spans="1:23" s="887" customFormat="1" ht="20.149999999999999" customHeight="1">
      <c r="A32" s="911" t="s">
        <v>161</v>
      </c>
      <c r="B32" s="896" t="s">
        <v>1381</v>
      </c>
      <c r="C32" s="912">
        <f>SUM(C33:C35)</f>
        <v>9</v>
      </c>
      <c r="D32" s="912"/>
      <c r="E32" s="912">
        <f t="shared" ref="E32" si="18">SUM(E33:E35)</f>
        <v>3</v>
      </c>
      <c r="F32" s="912"/>
      <c r="G32" s="912"/>
      <c r="H32" s="1105">
        <f t="shared" ref="H32:L32" si="19">SUM(H33:H35)</f>
        <v>228</v>
      </c>
      <c r="I32" s="1105">
        <f t="shared" si="19"/>
        <v>148.5</v>
      </c>
      <c r="J32" s="1105">
        <f t="shared" si="19"/>
        <v>99</v>
      </c>
      <c r="K32" s="1105">
        <f t="shared" si="19"/>
        <v>0</v>
      </c>
      <c r="L32" s="1105">
        <f t="shared" si="19"/>
        <v>49.5</v>
      </c>
      <c r="M32" s="899"/>
      <c r="N32" s="899"/>
      <c r="O32" s="899"/>
      <c r="P32" s="899"/>
      <c r="Q32" s="899"/>
      <c r="R32" s="913"/>
      <c r="S32" s="512"/>
      <c r="T32" s="512"/>
      <c r="U32" s="512"/>
      <c r="V32" s="512"/>
      <c r="W32" s="512"/>
    </row>
    <row r="33" spans="1:23" s="890" customFormat="1" ht="20.149999999999999" customHeight="1">
      <c r="A33" s="901" t="s">
        <v>163</v>
      </c>
      <c r="B33" s="902" t="s">
        <v>813</v>
      </c>
      <c r="C33" s="903">
        <v>3</v>
      </c>
      <c r="D33" s="904">
        <v>1</v>
      </c>
      <c r="E33" s="903">
        <v>1</v>
      </c>
      <c r="F33" s="903">
        <v>1</v>
      </c>
      <c r="G33" s="903">
        <v>25</v>
      </c>
      <c r="H33" s="1101">
        <f t="shared" si="17"/>
        <v>75</v>
      </c>
      <c r="I33" s="1102">
        <f t="shared" si="16"/>
        <v>49.5</v>
      </c>
      <c r="J33" s="1103">
        <v>49.5</v>
      </c>
      <c r="K33" s="1103">
        <v>0</v>
      </c>
      <c r="L33" s="1103">
        <v>0</v>
      </c>
      <c r="M33" s="906"/>
      <c r="N33" s="906"/>
      <c r="O33" s="906"/>
      <c r="P33" s="906"/>
      <c r="Q33" s="906"/>
      <c r="R33" s="907"/>
      <c r="S33" s="515"/>
      <c r="T33" s="515"/>
      <c r="U33" s="515"/>
      <c r="V33" s="515"/>
      <c r="W33" s="515"/>
    </row>
    <row r="34" spans="1:23" s="890" customFormat="1" ht="20.149999999999999" customHeight="1">
      <c r="A34" s="901" t="s">
        <v>164</v>
      </c>
      <c r="B34" s="914" t="s">
        <v>814</v>
      </c>
      <c r="C34" s="903">
        <v>3</v>
      </c>
      <c r="D34" s="904">
        <v>1</v>
      </c>
      <c r="E34" s="903">
        <v>1</v>
      </c>
      <c r="F34" s="903">
        <v>1</v>
      </c>
      <c r="G34" s="903">
        <v>25</v>
      </c>
      <c r="H34" s="1101">
        <f>C34*D34*G34</f>
        <v>75</v>
      </c>
      <c r="I34" s="1102">
        <f t="shared" si="16"/>
        <v>49.5</v>
      </c>
      <c r="J34" s="1095">
        <v>0</v>
      </c>
      <c r="K34" s="1103">
        <v>0</v>
      </c>
      <c r="L34" s="1103">
        <v>49.5</v>
      </c>
      <c r="M34" s="906"/>
      <c r="N34" s="906"/>
      <c r="O34" s="906"/>
      <c r="P34" s="906"/>
      <c r="Q34" s="906"/>
      <c r="R34" s="907"/>
      <c r="S34" s="515"/>
      <c r="T34" s="515"/>
      <c r="U34" s="515"/>
      <c r="V34" s="515"/>
      <c r="W34" s="515"/>
    </row>
    <row r="35" spans="1:23" s="890" customFormat="1" ht="20.149999999999999" customHeight="1">
      <c r="A35" s="908" t="s">
        <v>165</v>
      </c>
      <c r="B35" s="915" t="s">
        <v>786</v>
      </c>
      <c r="C35" s="903">
        <v>3</v>
      </c>
      <c r="D35" s="904">
        <v>1.3</v>
      </c>
      <c r="E35" s="903">
        <v>1</v>
      </c>
      <c r="F35" s="903">
        <v>1</v>
      </c>
      <c r="G35" s="903">
        <v>20</v>
      </c>
      <c r="H35" s="1101">
        <f t="shared" si="17"/>
        <v>78</v>
      </c>
      <c r="I35" s="1102">
        <f t="shared" ref="I35" si="20">C35*E35*F35*16.5</f>
        <v>49.5</v>
      </c>
      <c r="J35" s="1102">
        <f t="shared" ref="J35" si="21">C35*E35*F35*16.5</f>
        <v>49.5</v>
      </c>
      <c r="K35" s="1103">
        <v>0</v>
      </c>
      <c r="L35" s="1103">
        <v>0</v>
      </c>
      <c r="M35" s="906"/>
      <c r="N35" s="906"/>
      <c r="O35" s="906"/>
      <c r="P35" s="906"/>
      <c r="Q35" s="906"/>
      <c r="R35" s="907"/>
      <c r="S35" s="515"/>
      <c r="T35" s="515"/>
      <c r="U35" s="515"/>
      <c r="V35" s="515"/>
      <c r="W35" s="515"/>
    </row>
    <row r="36" spans="1:23" s="890" customFormat="1" ht="20.149999999999999" customHeight="1">
      <c r="A36" s="882">
        <v>2</v>
      </c>
      <c r="B36" s="707" t="s">
        <v>523</v>
      </c>
      <c r="C36" s="916">
        <f>C37+C47</f>
        <v>53</v>
      </c>
      <c r="D36" s="916"/>
      <c r="E36" s="916"/>
      <c r="F36" s="916"/>
      <c r="G36" s="916"/>
      <c r="H36" s="1106">
        <f>H37+H47</f>
        <v>3300</v>
      </c>
      <c r="I36" s="1106">
        <f t="shared" ref="I36:L36" si="22">I37+I47</f>
        <v>4476</v>
      </c>
      <c r="J36" s="1106">
        <f>J37+J47</f>
        <v>2385</v>
      </c>
      <c r="K36" s="1106">
        <f t="shared" si="22"/>
        <v>298.5</v>
      </c>
      <c r="L36" s="1106">
        <f t="shared" si="22"/>
        <v>1941</v>
      </c>
      <c r="M36" s="906"/>
      <c r="N36" s="906"/>
      <c r="O36" s="906"/>
      <c r="P36" s="906"/>
      <c r="Q36" s="906"/>
      <c r="R36" s="917"/>
      <c r="S36" s="515"/>
      <c r="T36" s="515"/>
      <c r="U36" s="515"/>
      <c r="V36" s="515"/>
      <c r="W36" s="515"/>
    </row>
    <row r="37" spans="1:23" s="887" customFormat="1" ht="20.149999999999999" customHeight="1">
      <c r="A37" s="895" t="s">
        <v>154</v>
      </c>
      <c r="B37" s="896" t="s">
        <v>1386</v>
      </c>
      <c r="C37" s="897">
        <f>SUM(C38:C46)</f>
        <v>29</v>
      </c>
      <c r="D37" s="897"/>
      <c r="E37" s="897">
        <f t="shared" ref="E37" si="23">SUM(E38:E46)</f>
        <v>25</v>
      </c>
      <c r="F37" s="897"/>
      <c r="G37" s="897"/>
      <c r="H37" s="1100">
        <f t="shared" ref="H37:L37" si="24">SUM(H38:H46)</f>
        <v>1860</v>
      </c>
      <c r="I37" s="1100">
        <f t="shared" si="24"/>
        <v>3288</v>
      </c>
      <c r="J37" s="1100">
        <f>SUM(J38:J46)</f>
        <v>1642.5</v>
      </c>
      <c r="K37" s="1100">
        <f t="shared" si="24"/>
        <v>150</v>
      </c>
      <c r="L37" s="1100">
        <f t="shared" si="24"/>
        <v>1644</v>
      </c>
      <c r="M37" s="899"/>
      <c r="N37" s="899"/>
      <c r="O37" s="899"/>
      <c r="P37" s="899"/>
      <c r="Q37" s="899"/>
      <c r="R37" s="900"/>
      <c r="S37" s="512"/>
      <c r="T37" s="512"/>
      <c r="U37" s="512"/>
      <c r="V37" s="512"/>
      <c r="W37" s="512"/>
    </row>
    <row r="38" spans="1:23" s="890" customFormat="1" ht="20.149999999999999" customHeight="1">
      <c r="A38" s="901" t="s">
        <v>155</v>
      </c>
      <c r="B38" s="918" t="s">
        <v>816</v>
      </c>
      <c r="C38" s="919">
        <v>3</v>
      </c>
      <c r="D38" s="866">
        <v>1</v>
      </c>
      <c r="E38" s="919">
        <v>3</v>
      </c>
      <c r="F38" s="919">
        <v>1</v>
      </c>
      <c r="G38" s="919">
        <v>60</v>
      </c>
      <c r="H38" s="1101">
        <f>C38*D38*G38</f>
        <v>180</v>
      </c>
      <c r="I38" s="1102">
        <f xml:space="preserve"> C38*E38*F38*16.5</f>
        <v>148.5</v>
      </c>
      <c r="J38" s="1103">
        <v>0</v>
      </c>
      <c r="K38" s="1103">
        <v>0</v>
      </c>
      <c r="L38" s="1103">
        <v>148.5</v>
      </c>
      <c r="M38" s="909"/>
      <c r="N38" s="909"/>
      <c r="O38" s="909"/>
      <c r="P38" s="909"/>
      <c r="Q38" s="909"/>
      <c r="R38" s="910"/>
      <c r="S38" s="515"/>
      <c r="T38" s="515"/>
      <c r="U38" s="515"/>
      <c r="V38" s="515"/>
      <c r="W38" s="515"/>
    </row>
    <row r="39" spans="1:23" s="890" customFormat="1" ht="20.149999999999999" customHeight="1">
      <c r="A39" s="901" t="s">
        <v>156</v>
      </c>
      <c r="B39" s="918" t="s">
        <v>817</v>
      </c>
      <c r="C39" s="919">
        <v>3</v>
      </c>
      <c r="D39" s="866">
        <v>1</v>
      </c>
      <c r="E39" s="919">
        <v>3</v>
      </c>
      <c r="F39" s="919">
        <v>1</v>
      </c>
      <c r="G39" s="919">
        <v>60</v>
      </c>
      <c r="H39" s="1101">
        <f t="shared" ref="H39:H51" si="25">C39*D39*G39</f>
        <v>180</v>
      </c>
      <c r="I39" s="1102">
        <f t="shared" ref="I39:I55" si="26" xml:space="preserve"> C39*E39*F39*16.5</f>
        <v>148.5</v>
      </c>
      <c r="J39" s="1103">
        <f>I39</f>
        <v>148.5</v>
      </c>
      <c r="K39" s="1103">
        <v>0</v>
      </c>
      <c r="L39" s="1103">
        <v>0</v>
      </c>
      <c r="M39" s="909"/>
      <c r="N39" s="909"/>
      <c r="O39" s="909"/>
      <c r="P39" s="909"/>
      <c r="Q39" s="909"/>
      <c r="R39" s="910"/>
      <c r="S39" s="515"/>
      <c r="T39" s="515"/>
      <c r="U39" s="515"/>
      <c r="V39" s="515"/>
      <c r="W39" s="515"/>
    </row>
    <row r="40" spans="1:23" s="890" customFormat="1" ht="20.149999999999999" customHeight="1">
      <c r="A40" s="901" t="s">
        <v>157</v>
      </c>
      <c r="B40" s="918" t="s">
        <v>818</v>
      </c>
      <c r="C40" s="919">
        <v>3</v>
      </c>
      <c r="D40" s="866">
        <v>1</v>
      </c>
      <c r="E40" s="919">
        <v>3</v>
      </c>
      <c r="F40" s="919">
        <v>1</v>
      </c>
      <c r="G40" s="919">
        <v>60</v>
      </c>
      <c r="H40" s="1101">
        <f t="shared" si="25"/>
        <v>180</v>
      </c>
      <c r="I40" s="1102">
        <f t="shared" si="26"/>
        <v>148.5</v>
      </c>
      <c r="J40" s="1103">
        <f t="shared" ref="J40:J55" si="27">I40</f>
        <v>148.5</v>
      </c>
      <c r="K40" s="1103">
        <v>0</v>
      </c>
      <c r="L40" s="1103">
        <v>0</v>
      </c>
      <c r="M40" s="909"/>
      <c r="N40" s="909"/>
      <c r="O40" s="909"/>
      <c r="P40" s="909"/>
      <c r="Q40" s="909"/>
      <c r="R40" s="910"/>
      <c r="S40" s="515"/>
      <c r="T40" s="515"/>
      <c r="U40" s="515"/>
      <c r="V40" s="515"/>
      <c r="W40" s="515"/>
    </row>
    <row r="41" spans="1:23" s="890" customFormat="1" ht="20.149999999999999" customHeight="1">
      <c r="A41" s="901" t="s">
        <v>158</v>
      </c>
      <c r="B41" s="918" t="s">
        <v>819</v>
      </c>
      <c r="C41" s="919">
        <v>3</v>
      </c>
      <c r="D41" s="866">
        <v>1</v>
      </c>
      <c r="E41" s="919">
        <v>3</v>
      </c>
      <c r="F41" s="919">
        <v>1</v>
      </c>
      <c r="G41" s="919">
        <v>60</v>
      </c>
      <c r="H41" s="1101">
        <f t="shared" si="25"/>
        <v>180</v>
      </c>
      <c r="I41" s="1102">
        <f t="shared" si="26"/>
        <v>148.5</v>
      </c>
      <c r="J41" s="1103">
        <v>0</v>
      </c>
      <c r="K41" s="1103">
        <v>0</v>
      </c>
      <c r="L41" s="1103">
        <v>148.5</v>
      </c>
      <c r="M41" s="909"/>
      <c r="N41" s="909"/>
      <c r="O41" s="909"/>
      <c r="P41" s="909"/>
      <c r="Q41" s="909"/>
      <c r="R41" s="910"/>
      <c r="S41" s="515"/>
      <c r="T41" s="515"/>
      <c r="U41" s="515"/>
      <c r="V41" s="515"/>
      <c r="W41" s="515"/>
    </row>
    <row r="42" spans="1:23" s="890" customFormat="1" ht="20.149999999999999" customHeight="1">
      <c r="A42" s="901" t="s">
        <v>159</v>
      </c>
      <c r="B42" s="918" t="s">
        <v>820</v>
      </c>
      <c r="C42" s="919">
        <v>3</v>
      </c>
      <c r="D42" s="866">
        <v>1</v>
      </c>
      <c r="E42" s="919">
        <v>3</v>
      </c>
      <c r="F42" s="919">
        <v>1</v>
      </c>
      <c r="G42" s="919">
        <v>60</v>
      </c>
      <c r="H42" s="1101">
        <f t="shared" si="25"/>
        <v>180</v>
      </c>
      <c r="I42" s="1102">
        <f t="shared" si="26"/>
        <v>148.5</v>
      </c>
      <c r="J42" s="1103">
        <f t="shared" si="27"/>
        <v>148.5</v>
      </c>
      <c r="K42" s="1103">
        <v>0</v>
      </c>
      <c r="L42" s="1103">
        <v>0</v>
      </c>
      <c r="M42" s="909"/>
      <c r="N42" s="909"/>
      <c r="O42" s="909"/>
      <c r="P42" s="909"/>
      <c r="Q42" s="909"/>
      <c r="R42" s="910"/>
      <c r="S42" s="515"/>
      <c r="T42" s="515"/>
      <c r="U42" s="515"/>
      <c r="V42" s="515"/>
      <c r="W42" s="515"/>
    </row>
    <row r="43" spans="1:23" s="890" customFormat="1" ht="20.149999999999999" customHeight="1">
      <c r="A43" s="901" t="s">
        <v>160</v>
      </c>
      <c r="B43" s="918" t="s">
        <v>821</v>
      </c>
      <c r="C43" s="919">
        <v>3</v>
      </c>
      <c r="D43" s="866">
        <v>1</v>
      </c>
      <c r="E43" s="919">
        <v>3</v>
      </c>
      <c r="F43" s="919">
        <v>1</v>
      </c>
      <c r="G43" s="919">
        <v>60</v>
      </c>
      <c r="H43" s="1101">
        <f t="shared" si="25"/>
        <v>180</v>
      </c>
      <c r="I43" s="1102">
        <f t="shared" si="26"/>
        <v>148.5</v>
      </c>
      <c r="J43" s="1103">
        <f t="shared" si="27"/>
        <v>148.5</v>
      </c>
      <c r="K43" s="1103">
        <v>0</v>
      </c>
      <c r="L43" s="1103">
        <v>0</v>
      </c>
      <c r="M43" s="909"/>
      <c r="N43" s="909"/>
      <c r="O43" s="909"/>
      <c r="P43" s="909"/>
      <c r="Q43" s="909"/>
      <c r="R43" s="910"/>
      <c r="S43" s="515"/>
      <c r="T43" s="515"/>
      <c r="U43" s="515"/>
      <c r="V43" s="515"/>
      <c r="W43" s="515"/>
    </row>
    <row r="44" spans="1:23" s="890" customFormat="1" ht="20.149999999999999" customHeight="1">
      <c r="A44" s="901" t="s">
        <v>749</v>
      </c>
      <c r="B44" s="918" t="s">
        <v>822</v>
      </c>
      <c r="C44" s="919">
        <v>3</v>
      </c>
      <c r="D44" s="866">
        <v>1</v>
      </c>
      <c r="E44" s="919">
        <v>3</v>
      </c>
      <c r="F44" s="919">
        <v>1</v>
      </c>
      <c r="G44" s="919">
        <v>60</v>
      </c>
      <c r="H44" s="1101">
        <f t="shared" si="25"/>
        <v>180</v>
      </c>
      <c r="I44" s="1102">
        <f t="shared" si="26"/>
        <v>148.5</v>
      </c>
      <c r="J44" s="1103">
        <f t="shared" si="27"/>
        <v>148.5</v>
      </c>
      <c r="K44" s="1103">
        <v>0</v>
      </c>
      <c r="L44" s="1103">
        <v>148.5</v>
      </c>
      <c r="M44" s="909"/>
      <c r="N44" s="909"/>
      <c r="O44" s="909"/>
      <c r="P44" s="909"/>
      <c r="Q44" s="909"/>
      <c r="R44" s="910"/>
      <c r="S44" s="515"/>
      <c r="T44" s="515"/>
      <c r="U44" s="515"/>
      <c r="V44" s="515"/>
      <c r="W44" s="515"/>
    </row>
    <row r="45" spans="1:23" s="890" customFormat="1" ht="20.149999999999999" customHeight="1">
      <c r="A45" s="901" t="s">
        <v>750</v>
      </c>
      <c r="B45" s="918" t="s">
        <v>823</v>
      </c>
      <c r="C45" s="919">
        <v>3</v>
      </c>
      <c r="D45" s="866">
        <v>1</v>
      </c>
      <c r="E45" s="919">
        <v>3</v>
      </c>
      <c r="F45" s="919">
        <v>1</v>
      </c>
      <c r="G45" s="919">
        <v>60</v>
      </c>
      <c r="H45" s="1101">
        <f t="shared" si="25"/>
        <v>180</v>
      </c>
      <c r="I45" s="1102">
        <f t="shared" si="26"/>
        <v>148.5</v>
      </c>
      <c r="J45" s="1103">
        <v>0</v>
      </c>
      <c r="K45" s="1103">
        <v>0</v>
      </c>
      <c r="L45" s="1103">
        <v>148.5</v>
      </c>
      <c r="M45" s="909"/>
      <c r="N45" s="909"/>
      <c r="O45" s="909"/>
      <c r="P45" s="909"/>
      <c r="Q45" s="909"/>
      <c r="R45" s="910"/>
      <c r="S45" s="515"/>
      <c r="T45" s="515"/>
      <c r="U45" s="515"/>
      <c r="V45" s="515"/>
      <c r="W45" s="515"/>
    </row>
    <row r="46" spans="1:23" s="684" customFormat="1" ht="20.149999999999999" customHeight="1">
      <c r="A46" s="901" t="s">
        <v>752</v>
      </c>
      <c r="B46" s="902" t="s">
        <v>170</v>
      </c>
      <c r="C46" s="919">
        <v>5</v>
      </c>
      <c r="D46" s="866">
        <v>1.4</v>
      </c>
      <c r="E46" s="919">
        <v>1</v>
      </c>
      <c r="F46" s="919">
        <v>1</v>
      </c>
      <c r="G46" s="919">
        <v>60</v>
      </c>
      <c r="H46" s="1102">
        <f>C46*D46*G46</f>
        <v>420</v>
      </c>
      <c r="I46" s="1102">
        <v>2100</v>
      </c>
      <c r="J46" s="1103">
        <v>900</v>
      </c>
      <c r="K46" s="1103">
        <v>150</v>
      </c>
      <c r="L46" s="1103">
        <v>1050</v>
      </c>
      <c r="M46" s="909"/>
      <c r="N46" s="909"/>
      <c r="O46" s="909"/>
      <c r="P46" s="909"/>
      <c r="Q46" s="909"/>
      <c r="R46" s="910"/>
      <c r="S46" s="531"/>
      <c r="T46" s="531"/>
      <c r="U46" s="531"/>
      <c r="V46" s="531"/>
      <c r="W46" s="531"/>
    </row>
    <row r="47" spans="1:23" s="890" customFormat="1" ht="20.149999999999999" customHeight="1">
      <c r="A47" s="920" t="s">
        <v>161</v>
      </c>
      <c r="B47" s="921" t="s">
        <v>1381</v>
      </c>
      <c r="C47" s="922">
        <f>SUM(C48:C55)</f>
        <v>24</v>
      </c>
      <c r="D47" s="923"/>
      <c r="E47" s="922"/>
      <c r="F47" s="922"/>
      <c r="G47" s="922"/>
      <c r="H47" s="1107">
        <f t="shared" ref="H47:L47" si="28">SUM(H48:H55)</f>
        <v>1440</v>
      </c>
      <c r="I47" s="1107">
        <f t="shared" si="28"/>
        <v>1188</v>
      </c>
      <c r="J47" s="1107">
        <f>SUM(J48:J55)</f>
        <v>742.5</v>
      </c>
      <c r="K47" s="1107">
        <f>SUM(K48:K55)</f>
        <v>148.5</v>
      </c>
      <c r="L47" s="1107">
        <f t="shared" si="28"/>
        <v>297</v>
      </c>
      <c r="M47" s="909"/>
      <c r="N47" s="909"/>
      <c r="O47" s="909"/>
      <c r="P47" s="909"/>
      <c r="Q47" s="909"/>
      <c r="R47" s="910"/>
      <c r="S47" s="515"/>
      <c r="T47" s="515"/>
      <c r="U47" s="515"/>
      <c r="V47" s="515"/>
      <c r="W47" s="515"/>
    </row>
    <row r="48" spans="1:23" s="890" customFormat="1" ht="20.149999999999999" customHeight="1">
      <c r="A48" s="908" t="s">
        <v>163</v>
      </c>
      <c r="B48" s="918" t="s">
        <v>824</v>
      </c>
      <c r="C48" s="919">
        <v>3</v>
      </c>
      <c r="D48" s="866">
        <v>1</v>
      </c>
      <c r="E48" s="919">
        <v>3</v>
      </c>
      <c r="F48" s="919">
        <v>1</v>
      </c>
      <c r="G48" s="919">
        <v>60</v>
      </c>
      <c r="H48" s="1101">
        <f t="shared" si="25"/>
        <v>180</v>
      </c>
      <c r="I48" s="1102">
        <f t="shared" si="26"/>
        <v>148.5</v>
      </c>
      <c r="J48" s="1103">
        <f t="shared" si="27"/>
        <v>148.5</v>
      </c>
      <c r="K48" s="1103">
        <v>0</v>
      </c>
      <c r="L48" s="1103">
        <v>0</v>
      </c>
      <c r="M48" s="909"/>
      <c r="N48" s="909"/>
      <c r="O48" s="909"/>
      <c r="P48" s="909"/>
      <c r="Q48" s="909"/>
      <c r="R48" s="910"/>
      <c r="S48" s="515"/>
      <c r="T48" s="515"/>
      <c r="U48" s="515"/>
      <c r="V48" s="515"/>
      <c r="W48" s="515"/>
    </row>
    <row r="49" spans="1:23" s="890" customFormat="1" ht="20.149999999999999" customHeight="1">
      <c r="A49" s="908" t="s">
        <v>164</v>
      </c>
      <c r="B49" s="918" t="s">
        <v>825</v>
      </c>
      <c r="C49" s="919">
        <v>3</v>
      </c>
      <c r="D49" s="866">
        <v>1</v>
      </c>
      <c r="E49" s="919">
        <v>3</v>
      </c>
      <c r="F49" s="919">
        <v>1</v>
      </c>
      <c r="G49" s="919">
        <v>60</v>
      </c>
      <c r="H49" s="1101">
        <f t="shared" si="25"/>
        <v>180</v>
      </c>
      <c r="I49" s="1102">
        <f t="shared" si="26"/>
        <v>148.5</v>
      </c>
      <c r="J49" s="1103">
        <v>0</v>
      </c>
      <c r="K49" s="1103">
        <v>0</v>
      </c>
      <c r="L49" s="1103">
        <v>148.5</v>
      </c>
      <c r="M49" s="909"/>
      <c r="N49" s="909"/>
      <c r="O49" s="909"/>
      <c r="P49" s="909"/>
      <c r="Q49" s="909"/>
      <c r="R49" s="910"/>
      <c r="S49" s="515"/>
      <c r="T49" s="515"/>
      <c r="U49" s="515"/>
      <c r="V49" s="515"/>
      <c r="W49" s="515"/>
    </row>
    <row r="50" spans="1:23" s="890" customFormat="1" ht="27.75" customHeight="1">
      <c r="A50" s="908" t="s">
        <v>165</v>
      </c>
      <c r="B50" s="918" t="s">
        <v>826</v>
      </c>
      <c r="C50" s="919">
        <v>3</v>
      </c>
      <c r="D50" s="866">
        <v>1</v>
      </c>
      <c r="E50" s="919">
        <v>3</v>
      </c>
      <c r="F50" s="919">
        <v>1</v>
      </c>
      <c r="G50" s="919">
        <v>60</v>
      </c>
      <c r="H50" s="1101">
        <f t="shared" si="25"/>
        <v>180</v>
      </c>
      <c r="I50" s="1102">
        <f t="shared" si="26"/>
        <v>148.5</v>
      </c>
      <c r="J50" s="1103">
        <f t="shared" si="27"/>
        <v>148.5</v>
      </c>
      <c r="K50" s="1103">
        <v>0</v>
      </c>
      <c r="L50" s="1103">
        <v>0</v>
      </c>
      <c r="M50" s="909"/>
      <c r="N50" s="909"/>
      <c r="O50" s="909"/>
      <c r="P50" s="909"/>
      <c r="Q50" s="909"/>
      <c r="R50" s="910"/>
      <c r="S50" s="515"/>
      <c r="T50" s="515"/>
      <c r="U50" s="515"/>
      <c r="V50" s="515"/>
      <c r="W50" s="515"/>
    </row>
    <row r="51" spans="1:23" s="890" customFormat="1" ht="20.149999999999999" customHeight="1">
      <c r="A51" s="908" t="s">
        <v>166</v>
      </c>
      <c r="B51" s="918" t="s">
        <v>827</v>
      </c>
      <c r="C51" s="919">
        <v>3</v>
      </c>
      <c r="D51" s="866">
        <v>1</v>
      </c>
      <c r="E51" s="919">
        <v>3</v>
      </c>
      <c r="F51" s="919">
        <v>1</v>
      </c>
      <c r="G51" s="919">
        <v>60</v>
      </c>
      <c r="H51" s="1101">
        <f t="shared" si="25"/>
        <v>180</v>
      </c>
      <c r="I51" s="1102">
        <f t="shared" si="26"/>
        <v>148.5</v>
      </c>
      <c r="J51" s="1103">
        <f t="shared" si="27"/>
        <v>148.5</v>
      </c>
      <c r="K51" s="1103">
        <v>0</v>
      </c>
      <c r="L51" s="1103">
        <v>0</v>
      </c>
      <c r="M51" s="909"/>
      <c r="N51" s="909"/>
      <c r="O51" s="909"/>
      <c r="P51" s="909"/>
      <c r="Q51" s="909"/>
      <c r="R51" s="910"/>
      <c r="S51" s="515"/>
      <c r="T51" s="515"/>
      <c r="U51" s="515"/>
      <c r="V51" s="515"/>
      <c r="W51" s="515"/>
    </row>
    <row r="52" spans="1:23" s="890" customFormat="1" ht="20.149999999999999" customHeight="1">
      <c r="A52" s="908" t="s">
        <v>168</v>
      </c>
      <c r="B52" s="918" t="s">
        <v>828</v>
      </c>
      <c r="C52" s="919">
        <v>3</v>
      </c>
      <c r="D52" s="866">
        <v>1</v>
      </c>
      <c r="E52" s="919">
        <v>3</v>
      </c>
      <c r="F52" s="919">
        <v>1</v>
      </c>
      <c r="G52" s="919">
        <v>60</v>
      </c>
      <c r="H52" s="1101">
        <v>180</v>
      </c>
      <c r="I52" s="1102">
        <f t="shared" si="26"/>
        <v>148.5</v>
      </c>
      <c r="J52" s="1103">
        <v>0</v>
      </c>
      <c r="K52" s="1103">
        <v>0</v>
      </c>
      <c r="L52" s="1103">
        <v>148.5</v>
      </c>
      <c r="M52" s="909"/>
      <c r="N52" s="909"/>
      <c r="O52" s="909"/>
      <c r="P52" s="909"/>
      <c r="Q52" s="909"/>
      <c r="R52" s="910"/>
      <c r="S52" s="515"/>
      <c r="T52" s="515"/>
      <c r="U52" s="515"/>
      <c r="V52" s="515"/>
      <c r="W52" s="515"/>
    </row>
    <row r="53" spans="1:23" s="890" customFormat="1" ht="25.5" customHeight="1">
      <c r="A53" s="908" t="s">
        <v>978</v>
      </c>
      <c r="B53" s="918" t="s">
        <v>829</v>
      </c>
      <c r="C53" s="919">
        <v>3</v>
      </c>
      <c r="D53" s="866">
        <v>1</v>
      </c>
      <c r="E53" s="919">
        <v>3</v>
      </c>
      <c r="F53" s="919">
        <v>1</v>
      </c>
      <c r="G53" s="919">
        <v>60</v>
      </c>
      <c r="H53" s="1101">
        <v>180</v>
      </c>
      <c r="I53" s="1102">
        <f t="shared" si="26"/>
        <v>148.5</v>
      </c>
      <c r="J53" s="1103">
        <v>0</v>
      </c>
      <c r="K53" s="1103">
        <v>148.5</v>
      </c>
      <c r="L53" s="1103">
        <v>0</v>
      </c>
      <c r="M53" s="909"/>
      <c r="N53" s="909"/>
      <c r="O53" s="909"/>
      <c r="P53" s="909"/>
      <c r="Q53" s="909"/>
      <c r="R53" s="910"/>
      <c r="S53" s="515"/>
      <c r="T53" s="515"/>
      <c r="U53" s="515"/>
      <c r="V53" s="515"/>
      <c r="W53" s="515"/>
    </row>
    <row r="54" spans="1:23" s="890" customFormat="1" ht="27" customHeight="1">
      <c r="A54" s="908" t="s">
        <v>980</v>
      </c>
      <c r="B54" s="918" t="s">
        <v>830</v>
      </c>
      <c r="C54" s="919">
        <v>3</v>
      </c>
      <c r="D54" s="866">
        <v>1</v>
      </c>
      <c r="E54" s="919">
        <v>3</v>
      </c>
      <c r="F54" s="919">
        <v>1</v>
      </c>
      <c r="G54" s="919">
        <v>60</v>
      </c>
      <c r="H54" s="1101">
        <v>180</v>
      </c>
      <c r="I54" s="1102">
        <f t="shared" si="26"/>
        <v>148.5</v>
      </c>
      <c r="J54" s="1103">
        <f t="shared" si="27"/>
        <v>148.5</v>
      </c>
      <c r="K54" s="1103">
        <v>0</v>
      </c>
      <c r="L54" s="1103">
        <v>0</v>
      </c>
      <c r="M54" s="909"/>
      <c r="N54" s="909"/>
      <c r="O54" s="909"/>
      <c r="P54" s="909"/>
      <c r="Q54" s="909"/>
      <c r="R54" s="910"/>
      <c r="S54" s="515"/>
      <c r="T54" s="515"/>
      <c r="U54" s="515"/>
      <c r="V54" s="515"/>
      <c r="W54" s="515"/>
    </row>
    <row r="55" spans="1:23" s="890" customFormat="1" ht="27" customHeight="1">
      <c r="A55" s="908" t="s">
        <v>981</v>
      </c>
      <c r="B55" s="918" t="s">
        <v>831</v>
      </c>
      <c r="C55" s="919">
        <v>3</v>
      </c>
      <c r="D55" s="866">
        <v>1</v>
      </c>
      <c r="E55" s="919">
        <v>3</v>
      </c>
      <c r="F55" s="919">
        <v>1</v>
      </c>
      <c r="G55" s="919">
        <v>60</v>
      </c>
      <c r="H55" s="1101">
        <v>180</v>
      </c>
      <c r="I55" s="1102">
        <f t="shared" si="26"/>
        <v>148.5</v>
      </c>
      <c r="J55" s="1103">
        <f t="shared" si="27"/>
        <v>148.5</v>
      </c>
      <c r="K55" s="1103">
        <v>0</v>
      </c>
      <c r="L55" s="1103">
        <v>0</v>
      </c>
      <c r="M55" s="909"/>
      <c r="N55" s="909"/>
      <c r="O55" s="909"/>
      <c r="P55" s="909"/>
      <c r="Q55" s="909"/>
      <c r="R55" s="910"/>
      <c r="S55" s="515"/>
      <c r="T55" s="515"/>
      <c r="U55" s="515"/>
      <c r="V55" s="515"/>
      <c r="W55" s="515"/>
    </row>
    <row r="56" spans="1:23" s="890" customFormat="1" ht="20.149999999999999" customHeight="1">
      <c r="A56" s="725">
        <v>3</v>
      </c>
      <c r="B56" s="707" t="s">
        <v>171</v>
      </c>
      <c r="C56" s="922">
        <f>C57+C59</f>
        <v>6</v>
      </c>
      <c r="D56" s="922"/>
      <c r="E56" s="922">
        <f t="shared" ref="E56:L56" si="29">E57+E59</f>
        <v>0</v>
      </c>
      <c r="F56" s="922"/>
      <c r="G56" s="922"/>
      <c r="H56" s="1107">
        <f t="shared" si="29"/>
        <v>39</v>
      </c>
      <c r="I56" s="1107">
        <f t="shared" si="29"/>
        <v>549</v>
      </c>
      <c r="J56" s="1107">
        <f>J57+J59</f>
        <v>293</v>
      </c>
      <c r="K56" s="1107">
        <f t="shared" si="29"/>
        <v>64</v>
      </c>
      <c r="L56" s="1107">
        <f t="shared" si="29"/>
        <v>192</v>
      </c>
      <c r="M56" s="909"/>
      <c r="N56" s="909"/>
      <c r="O56" s="909"/>
      <c r="P56" s="909"/>
      <c r="Q56" s="909"/>
      <c r="R56" s="910"/>
      <c r="S56" s="515"/>
      <c r="T56" s="515"/>
      <c r="U56" s="515"/>
      <c r="V56" s="515"/>
      <c r="W56" s="515"/>
    </row>
    <row r="57" spans="1:23" s="887" customFormat="1" ht="20.149999999999999" customHeight="1">
      <c r="A57" s="924" t="s">
        <v>154</v>
      </c>
      <c r="B57" s="896" t="s">
        <v>1386</v>
      </c>
      <c r="C57" s="925">
        <v>0</v>
      </c>
      <c r="D57" s="926"/>
      <c r="E57" s="925"/>
      <c r="F57" s="925"/>
      <c r="G57" s="925"/>
      <c r="H57" s="1100">
        <f>SUM(H58)</f>
        <v>9</v>
      </c>
      <c r="I57" s="1100">
        <f t="shared" ref="I57:L57" si="30">SUM(I58)</f>
        <v>450</v>
      </c>
      <c r="J57" s="1100">
        <f t="shared" si="30"/>
        <v>194</v>
      </c>
      <c r="K57" s="1100">
        <f t="shared" si="30"/>
        <v>64</v>
      </c>
      <c r="L57" s="1100">
        <f t="shared" si="30"/>
        <v>192</v>
      </c>
      <c r="M57" s="927"/>
      <c r="N57" s="927"/>
      <c r="O57" s="927"/>
      <c r="P57" s="927"/>
      <c r="Q57" s="927"/>
      <c r="R57" s="928"/>
      <c r="S57" s="512"/>
      <c r="T57" s="512"/>
      <c r="U57" s="512"/>
      <c r="V57" s="512"/>
      <c r="W57" s="512"/>
    </row>
    <row r="58" spans="1:23" s="684" customFormat="1" ht="20.149999999999999" customHeight="1">
      <c r="A58" s="1122"/>
      <c r="B58" s="902" t="s">
        <v>174</v>
      </c>
      <c r="C58" s="919"/>
      <c r="D58" s="866"/>
      <c r="E58" s="919"/>
      <c r="F58" s="919"/>
      <c r="G58" s="919"/>
      <c r="H58" s="1102">
        <v>9</v>
      </c>
      <c r="I58" s="1102">
        <v>450</v>
      </c>
      <c r="J58" s="1103">
        <v>194</v>
      </c>
      <c r="K58" s="1103">
        <v>64</v>
      </c>
      <c r="L58" s="1103">
        <v>192</v>
      </c>
      <c r="M58" s="909"/>
      <c r="N58" s="909"/>
      <c r="O58" s="909"/>
      <c r="P58" s="909"/>
      <c r="Q58" s="909"/>
      <c r="R58" s="910"/>
      <c r="S58" s="531"/>
      <c r="T58" s="531"/>
      <c r="U58" s="531"/>
      <c r="V58" s="531"/>
      <c r="W58" s="531"/>
    </row>
    <row r="59" spans="1:23" s="890" customFormat="1" ht="20.149999999999999" customHeight="1">
      <c r="A59" s="930" t="s">
        <v>161</v>
      </c>
      <c r="B59" s="921" t="s">
        <v>1381</v>
      </c>
      <c r="C59" s="922">
        <f>SUM(C60:C62)</f>
        <v>6</v>
      </c>
      <c r="D59" s="923"/>
      <c r="E59" s="922"/>
      <c r="F59" s="922"/>
      <c r="G59" s="922"/>
      <c r="H59" s="1107">
        <f>SUM(H60:H62)</f>
        <v>30</v>
      </c>
      <c r="I59" s="1107">
        <f t="shared" ref="I59:L59" si="31">SUM(I60:I62)</f>
        <v>99</v>
      </c>
      <c r="J59" s="1107">
        <f t="shared" si="31"/>
        <v>99</v>
      </c>
      <c r="K59" s="1107">
        <f t="shared" si="31"/>
        <v>0</v>
      </c>
      <c r="L59" s="1107">
        <f t="shared" si="31"/>
        <v>0</v>
      </c>
      <c r="M59" s="909"/>
      <c r="N59" s="909"/>
      <c r="O59" s="909"/>
      <c r="P59" s="909"/>
      <c r="Q59" s="909"/>
      <c r="R59" s="910"/>
      <c r="S59" s="515"/>
      <c r="T59" s="515"/>
      <c r="U59" s="515"/>
      <c r="V59" s="515"/>
      <c r="W59" s="515"/>
    </row>
    <row r="60" spans="1:23" s="890" customFormat="1" ht="20.149999999999999" customHeight="1">
      <c r="A60" s="901" t="s">
        <v>155</v>
      </c>
      <c r="B60" s="918" t="s">
        <v>832</v>
      </c>
      <c r="C60" s="919">
        <v>2</v>
      </c>
      <c r="D60" s="866">
        <v>1</v>
      </c>
      <c r="E60" s="919">
        <v>1</v>
      </c>
      <c r="F60" s="919">
        <v>1</v>
      </c>
      <c r="G60" s="919">
        <v>5</v>
      </c>
      <c r="H60" s="1101">
        <f>C60*D60*G60</f>
        <v>10</v>
      </c>
      <c r="I60" s="1102">
        <f>C60*E60*F60*16.5</f>
        <v>33</v>
      </c>
      <c r="J60" s="1103">
        <f>I60</f>
        <v>33</v>
      </c>
      <c r="K60" s="1103">
        <v>0</v>
      </c>
      <c r="L60" s="1103">
        <v>0</v>
      </c>
      <c r="M60" s="909"/>
      <c r="N60" s="909"/>
      <c r="O60" s="909"/>
      <c r="P60" s="909"/>
      <c r="Q60" s="909"/>
      <c r="R60" s="910"/>
      <c r="S60" s="515"/>
      <c r="T60" s="515"/>
      <c r="U60" s="515"/>
      <c r="V60" s="515"/>
      <c r="W60" s="515"/>
    </row>
    <row r="61" spans="1:23" s="890" customFormat="1" ht="20.149999999999999" customHeight="1">
      <c r="A61" s="901" t="s">
        <v>156</v>
      </c>
      <c r="B61" s="918" t="s">
        <v>833</v>
      </c>
      <c r="C61" s="919">
        <v>2</v>
      </c>
      <c r="D61" s="866">
        <v>1</v>
      </c>
      <c r="E61" s="919">
        <v>1</v>
      </c>
      <c r="F61" s="919">
        <v>1</v>
      </c>
      <c r="G61" s="919">
        <v>5</v>
      </c>
      <c r="H61" s="1101">
        <f t="shared" ref="H61:H62" si="32">C61*D61*G61</f>
        <v>10</v>
      </c>
      <c r="I61" s="1102">
        <f xml:space="preserve"> C61*E61*F61*16.5</f>
        <v>33</v>
      </c>
      <c r="J61" s="1103">
        <f t="shared" ref="J61:J62" si="33">I61</f>
        <v>33</v>
      </c>
      <c r="K61" s="1103">
        <v>0</v>
      </c>
      <c r="L61" s="1103">
        <v>0</v>
      </c>
      <c r="M61" s="909"/>
      <c r="N61" s="909"/>
      <c r="O61" s="909"/>
      <c r="P61" s="909"/>
      <c r="Q61" s="909"/>
      <c r="R61" s="910"/>
      <c r="S61" s="515"/>
      <c r="T61" s="515"/>
      <c r="U61" s="515"/>
      <c r="V61" s="515"/>
      <c r="W61" s="515"/>
    </row>
    <row r="62" spans="1:23" s="890" customFormat="1" ht="20.149999999999999" customHeight="1">
      <c r="A62" s="908" t="s">
        <v>157</v>
      </c>
      <c r="B62" s="931" t="s">
        <v>834</v>
      </c>
      <c r="C62" s="919">
        <v>2</v>
      </c>
      <c r="D62" s="866">
        <v>1</v>
      </c>
      <c r="E62" s="919">
        <v>1</v>
      </c>
      <c r="F62" s="919">
        <v>1</v>
      </c>
      <c r="G62" s="919">
        <v>5</v>
      </c>
      <c r="H62" s="1101">
        <f t="shared" si="32"/>
        <v>10</v>
      </c>
      <c r="I62" s="1102">
        <f t="shared" ref="I62" si="34" xml:space="preserve"> C62*E62*F62*16.5</f>
        <v>33</v>
      </c>
      <c r="J62" s="1103">
        <f t="shared" si="33"/>
        <v>33</v>
      </c>
      <c r="K62" s="1103">
        <v>0</v>
      </c>
      <c r="L62" s="1103">
        <v>0</v>
      </c>
      <c r="M62" s="909"/>
      <c r="N62" s="909"/>
      <c r="O62" s="909"/>
      <c r="P62" s="909"/>
      <c r="Q62" s="909"/>
      <c r="R62" s="910"/>
      <c r="S62" s="515"/>
      <c r="T62" s="515"/>
      <c r="U62" s="515"/>
      <c r="V62" s="515"/>
      <c r="W62" s="515"/>
    </row>
    <row r="63" spans="1:23" s="887" customFormat="1" ht="20.149999999999999" customHeight="1">
      <c r="A63" s="932" t="s">
        <v>161</v>
      </c>
      <c r="B63" s="905" t="s">
        <v>172</v>
      </c>
      <c r="C63" s="897"/>
      <c r="D63" s="898"/>
      <c r="E63" s="897"/>
      <c r="F63" s="897"/>
      <c r="G63" s="897"/>
      <c r="H63" s="1100">
        <f t="shared" ref="H63:L63" si="35">SUM(H64:H65)</f>
        <v>0</v>
      </c>
      <c r="I63" s="1100">
        <f t="shared" si="35"/>
        <v>0</v>
      </c>
      <c r="J63" s="1100">
        <f t="shared" si="35"/>
        <v>0</v>
      </c>
      <c r="K63" s="1100">
        <f t="shared" si="35"/>
        <v>0</v>
      </c>
      <c r="L63" s="1100">
        <f t="shared" si="35"/>
        <v>0</v>
      </c>
      <c r="M63" s="899"/>
      <c r="N63" s="899"/>
      <c r="O63" s="899"/>
      <c r="P63" s="899"/>
      <c r="Q63" s="899"/>
      <c r="R63" s="900"/>
      <c r="S63" s="512"/>
      <c r="T63" s="512"/>
      <c r="U63" s="512"/>
      <c r="V63" s="512"/>
      <c r="W63" s="512"/>
    </row>
    <row r="64" spans="1:23" s="890" customFormat="1" ht="20.149999999999999" customHeight="1">
      <c r="A64" s="908"/>
      <c r="B64" s="902" t="s">
        <v>524</v>
      </c>
      <c r="C64" s="919"/>
      <c r="D64" s="866"/>
      <c r="E64" s="919"/>
      <c r="F64" s="919"/>
      <c r="G64" s="919"/>
      <c r="H64" s="1102"/>
      <c r="I64" s="1107"/>
      <c r="J64" s="1103"/>
      <c r="K64" s="1103"/>
      <c r="L64" s="1103"/>
      <c r="M64" s="909"/>
      <c r="N64" s="909"/>
      <c r="O64" s="909"/>
      <c r="P64" s="909"/>
      <c r="Q64" s="909"/>
      <c r="R64" s="910"/>
      <c r="S64" s="515"/>
      <c r="T64" s="515"/>
      <c r="U64" s="515"/>
      <c r="V64" s="515"/>
      <c r="W64" s="515"/>
    </row>
    <row r="65" spans="1:23" s="890" customFormat="1" ht="20.149999999999999" customHeight="1">
      <c r="A65" s="908"/>
      <c r="B65" s="902" t="s">
        <v>524</v>
      </c>
      <c r="C65" s="919"/>
      <c r="D65" s="866"/>
      <c r="E65" s="919"/>
      <c r="F65" s="919"/>
      <c r="G65" s="919"/>
      <c r="H65" s="1102"/>
      <c r="I65" s="1107"/>
      <c r="J65" s="1103"/>
      <c r="K65" s="1103"/>
      <c r="L65" s="1103"/>
      <c r="M65" s="909"/>
      <c r="N65" s="909"/>
      <c r="O65" s="909"/>
      <c r="P65" s="909"/>
      <c r="Q65" s="909"/>
      <c r="R65" s="910"/>
      <c r="S65" s="515"/>
      <c r="T65" s="515"/>
      <c r="U65" s="515"/>
      <c r="V65" s="515"/>
      <c r="W65" s="515"/>
    </row>
    <row r="66" spans="1:23" s="890" customFormat="1" ht="29.25" customHeight="1">
      <c r="A66" s="933" t="s">
        <v>1388</v>
      </c>
      <c r="B66" s="929" t="s">
        <v>175</v>
      </c>
      <c r="C66" s="922">
        <v>0</v>
      </c>
      <c r="D66" s="923"/>
      <c r="E66" s="922">
        <v>0</v>
      </c>
      <c r="F66" s="922"/>
      <c r="G66" s="922">
        <v>0</v>
      </c>
      <c r="H66" s="1107">
        <v>0</v>
      </c>
      <c r="I66" s="1107">
        <v>0</v>
      </c>
      <c r="J66" s="1108">
        <v>0</v>
      </c>
      <c r="K66" s="1108">
        <v>0</v>
      </c>
      <c r="L66" s="1108">
        <v>0</v>
      </c>
      <c r="M66" s="906"/>
      <c r="N66" s="906"/>
      <c r="O66" s="906"/>
      <c r="P66" s="906"/>
      <c r="Q66" s="906"/>
      <c r="R66" s="917"/>
      <c r="S66" s="515"/>
      <c r="T66" s="515"/>
      <c r="U66" s="515"/>
      <c r="V66" s="515"/>
      <c r="W66" s="515"/>
    </row>
    <row r="67" spans="1:23" s="890" customFormat="1" ht="20.149999999999999" customHeight="1">
      <c r="A67" s="920" t="s">
        <v>835</v>
      </c>
      <c r="B67" s="929" t="s">
        <v>836</v>
      </c>
      <c r="C67" s="922">
        <f>C68</f>
        <v>45</v>
      </c>
      <c r="D67" s="923"/>
      <c r="E67" s="922">
        <f>E83</f>
        <v>27</v>
      </c>
      <c r="F67" s="922"/>
      <c r="G67" s="922"/>
      <c r="H67" s="1107">
        <f>H68+H83</f>
        <v>4304.5</v>
      </c>
      <c r="I67" s="1107">
        <f t="shared" ref="I67:L67" si="36">I68+I83</f>
        <v>2326.5</v>
      </c>
      <c r="J67" s="1107">
        <f t="shared" si="36"/>
        <v>1930.5</v>
      </c>
      <c r="K67" s="1107">
        <f t="shared" si="36"/>
        <v>1749</v>
      </c>
      <c r="L67" s="1107">
        <f t="shared" si="36"/>
        <v>1716</v>
      </c>
      <c r="M67" s="906"/>
      <c r="N67" s="906"/>
      <c r="O67" s="906"/>
      <c r="P67" s="906"/>
      <c r="Q67" s="906"/>
      <c r="R67" s="917"/>
      <c r="S67" s="515"/>
      <c r="T67" s="515"/>
      <c r="U67" s="515"/>
      <c r="V67" s="515"/>
      <c r="W67" s="515"/>
    </row>
    <row r="68" spans="1:23" s="892" customFormat="1" ht="20.149999999999999" customHeight="1">
      <c r="A68" s="882" t="s">
        <v>1389</v>
      </c>
      <c r="B68" s="707" t="s">
        <v>837</v>
      </c>
      <c r="C68" s="922">
        <f>C69+C77</f>
        <v>45</v>
      </c>
      <c r="D68" s="922"/>
      <c r="E68" s="922">
        <f t="shared" ref="E68:I68" si="37">E69+E77</f>
        <v>12</v>
      </c>
      <c r="F68" s="922"/>
      <c r="G68" s="922"/>
      <c r="H68" s="1107">
        <f t="shared" si="37"/>
        <v>1104.5</v>
      </c>
      <c r="I68" s="1107">
        <f t="shared" si="37"/>
        <v>742.5</v>
      </c>
      <c r="J68" s="1107">
        <f>J69+J77</f>
        <v>346.5</v>
      </c>
      <c r="K68" s="1107">
        <f>K69+K77</f>
        <v>165</v>
      </c>
      <c r="L68" s="1107">
        <f>L69+L77</f>
        <v>132</v>
      </c>
      <c r="M68" s="922"/>
      <c r="N68" s="922"/>
      <c r="O68" s="922"/>
      <c r="P68" s="922"/>
      <c r="Q68" s="922"/>
      <c r="R68" s="934"/>
      <c r="S68" s="530"/>
      <c r="T68" s="530"/>
      <c r="U68" s="530"/>
      <c r="V68" s="530"/>
      <c r="W68" s="530"/>
    </row>
    <row r="69" spans="1:23" s="887" customFormat="1" ht="20.149999999999999" customHeight="1">
      <c r="A69" s="895" t="s">
        <v>154</v>
      </c>
      <c r="B69" s="896" t="s">
        <v>1386</v>
      </c>
      <c r="C69" s="897">
        <f>SUM(C70:C76)</f>
        <v>26</v>
      </c>
      <c r="D69" s="897"/>
      <c r="E69" s="897">
        <f t="shared" ref="E69:L69" si="38">SUM(E70:E76)</f>
        <v>7</v>
      </c>
      <c r="F69" s="897"/>
      <c r="G69" s="897"/>
      <c r="H69" s="1100">
        <f>SUM(H70:H76)</f>
        <v>532</v>
      </c>
      <c r="I69" s="1100">
        <f>SUM(I70:I76)</f>
        <v>429</v>
      </c>
      <c r="J69" s="1100">
        <f>SUM(J70:J76)</f>
        <v>231</v>
      </c>
      <c r="K69" s="1100">
        <f>SUM(K70:K76)</f>
        <v>82.5</v>
      </c>
      <c r="L69" s="1100">
        <f t="shared" si="38"/>
        <v>66</v>
      </c>
      <c r="M69" s="899"/>
      <c r="N69" s="899"/>
      <c r="O69" s="899"/>
      <c r="P69" s="899"/>
      <c r="Q69" s="899"/>
      <c r="R69" s="900"/>
      <c r="S69" s="512"/>
      <c r="T69" s="512"/>
      <c r="U69" s="512"/>
      <c r="V69" s="512"/>
      <c r="W69" s="512"/>
    </row>
    <row r="70" spans="1:23" s="890" customFormat="1" ht="20.149999999999999" customHeight="1">
      <c r="A70" s="901" t="s">
        <v>155</v>
      </c>
      <c r="B70" s="935" t="s">
        <v>838</v>
      </c>
      <c r="C70" s="903">
        <v>3</v>
      </c>
      <c r="D70" s="904">
        <v>1</v>
      </c>
      <c r="E70" s="903">
        <v>1</v>
      </c>
      <c r="F70" s="903">
        <v>1</v>
      </c>
      <c r="G70" s="903">
        <v>25</v>
      </c>
      <c r="H70" s="1101">
        <f>C70*D70*G70</f>
        <v>75</v>
      </c>
      <c r="I70" s="1102">
        <f xml:space="preserve"> C70*E70*F70*16.5</f>
        <v>49.5</v>
      </c>
      <c r="J70" s="1103">
        <v>49.5</v>
      </c>
      <c r="K70" s="1103">
        <v>0</v>
      </c>
      <c r="L70" s="1103">
        <v>0</v>
      </c>
      <c r="M70" s="906"/>
      <c r="N70" s="906"/>
      <c r="O70" s="906"/>
      <c r="P70" s="906"/>
      <c r="Q70" s="906"/>
      <c r="R70" s="917"/>
      <c r="S70" s="515"/>
      <c r="T70" s="515"/>
      <c r="U70" s="515"/>
      <c r="V70" s="515"/>
      <c r="W70" s="515"/>
    </row>
    <row r="71" spans="1:23" s="890" customFormat="1" ht="20.149999999999999" customHeight="1">
      <c r="A71" s="901" t="s">
        <v>156</v>
      </c>
      <c r="B71" s="935" t="s">
        <v>839</v>
      </c>
      <c r="C71" s="919">
        <v>3</v>
      </c>
      <c r="D71" s="866">
        <v>1</v>
      </c>
      <c r="E71" s="919">
        <v>1</v>
      </c>
      <c r="F71" s="919">
        <v>1</v>
      </c>
      <c r="G71" s="919">
        <v>25</v>
      </c>
      <c r="H71" s="1101">
        <f t="shared" ref="H71:H82" si="39">C71*D71*G71</f>
        <v>75</v>
      </c>
      <c r="I71" s="1102">
        <f t="shared" ref="I71:I82" si="40" xml:space="preserve"> C71*E71*F71*16.5</f>
        <v>49.5</v>
      </c>
      <c r="J71" s="1103">
        <v>49.5</v>
      </c>
      <c r="K71" s="1103">
        <v>0</v>
      </c>
      <c r="L71" s="1103">
        <v>0</v>
      </c>
      <c r="M71" s="906"/>
      <c r="N71" s="906"/>
      <c r="O71" s="906"/>
      <c r="P71" s="906"/>
      <c r="Q71" s="906"/>
      <c r="R71" s="917"/>
      <c r="S71" s="515"/>
      <c r="T71" s="515"/>
      <c r="U71" s="515"/>
      <c r="V71" s="515"/>
      <c r="W71" s="515"/>
    </row>
    <row r="72" spans="1:23" s="890" customFormat="1" ht="20.149999999999999" customHeight="1">
      <c r="A72" s="901" t="s">
        <v>157</v>
      </c>
      <c r="B72" s="935" t="s">
        <v>840</v>
      </c>
      <c r="C72" s="903">
        <v>5</v>
      </c>
      <c r="D72" s="904">
        <v>1</v>
      </c>
      <c r="E72" s="903">
        <v>1</v>
      </c>
      <c r="F72" s="903">
        <v>1</v>
      </c>
      <c r="G72" s="903">
        <v>25</v>
      </c>
      <c r="H72" s="1101">
        <f t="shared" si="39"/>
        <v>125</v>
      </c>
      <c r="I72" s="1102">
        <f t="shared" si="40"/>
        <v>82.5</v>
      </c>
      <c r="J72" s="1103">
        <v>0</v>
      </c>
      <c r="K72" s="1103">
        <v>82.5</v>
      </c>
      <c r="L72" s="1103">
        <v>0</v>
      </c>
      <c r="M72" s="906"/>
      <c r="N72" s="906"/>
      <c r="O72" s="906"/>
      <c r="P72" s="906"/>
      <c r="Q72" s="906"/>
      <c r="R72" s="917"/>
      <c r="S72" s="515"/>
      <c r="T72" s="515"/>
      <c r="U72" s="515"/>
      <c r="V72" s="515"/>
      <c r="W72" s="515"/>
    </row>
    <row r="73" spans="1:23" s="890" customFormat="1" ht="20.149999999999999" customHeight="1">
      <c r="A73" s="901" t="s">
        <v>158</v>
      </c>
      <c r="B73" s="935" t="s">
        <v>841</v>
      </c>
      <c r="C73" s="903">
        <v>3</v>
      </c>
      <c r="D73" s="904">
        <v>1</v>
      </c>
      <c r="E73" s="903">
        <v>1</v>
      </c>
      <c r="F73" s="903">
        <v>1</v>
      </c>
      <c r="G73" s="903">
        <v>25</v>
      </c>
      <c r="H73" s="1101">
        <f t="shared" si="39"/>
        <v>75</v>
      </c>
      <c r="I73" s="1102">
        <f t="shared" si="40"/>
        <v>49.5</v>
      </c>
      <c r="J73" s="1108">
        <v>0</v>
      </c>
      <c r="K73" s="1108">
        <v>0</v>
      </c>
      <c r="L73" s="1103">
        <v>0</v>
      </c>
      <c r="M73" s="906"/>
      <c r="N73" s="906"/>
      <c r="O73" s="906"/>
      <c r="P73" s="906"/>
      <c r="Q73" s="906"/>
      <c r="R73" s="917"/>
      <c r="S73" s="515"/>
      <c r="T73" s="515"/>
      <c r="U73" s="515"/>
      <c r="V73" s="515"/>
      <c r="W73" s="515"/>
    </row>
    <row r="74" spans="1:23" s="890" customFormat="1" ht="20.149999999999999" customHeight="1">
      <c r="A74" s="908" t="s">
        <v>159</v>
      </c>
      <c r="B74" s="902" t="s">
        <v>842</v>
      </c>
      <c r="C74" s="903">
        <v>4</v>
      </c>
      <c r="D74" s="904">
        <v>1</v>
      </c>
      <c r="E74" s="903">
        <v>1</v>
      </c>
      <c r="F74" s="903">
        <v>1</v>
      </c>
      <c r="G74" s="903">
        <v>25</v>
      </c>
      <c r="H74" s="1101">
        <f t="shared" si="39"/>
        <v>100</v>
      </c>
      <c r="I74" s="1102">
        <f t="shared" si="40"/>
        <v>66</v>
      </c>
      <c r="J74" s="1103">
        <v>0</v>
      </c>
      <c r="K74" s="1103">
        <v>0</v>
      </c>
      <c r="L74" s="1103">
        <v>66</v>
      </c>
      <c r="M74" s="909"/>
      <c r="N74" s="909"/>
      <c r="O74" s="909"/>
      <c r="P74" s="909"/>
      <c r="Q74" s="909"/>
      <c r="R74" s="910"/>
      <c r="S74" s="515"/>
      <c r="T74" s="515"/>
      <c r="U74" s="515"/>
      <c r="V74" s="515"/>
      <c r="W74" s="515"/>
    </row>
    <row r="75" spans="1:23" s="890" customFormat="1" ht="20.149999999999999" customHeight="1">
      <c r="A75" s="908" t="s">
        <v>160</v>
      </c>
      <c r="B75" s="902" t="s">
        <v>843</v>
      </c>
      <c r="C75" s="903">
        <v>3</v>
      </c>
      <c r="D75" s="904">
        <v>1</v>
      </c>
      <c r="E75" s="903">
        <v>1</v>
      </c>
      <c r="F75" s="903">
        <v>1</v>
      </c>
      <c r="G75" s="903">
        <v>25</v>
      </c>
      <c r="H75" s="1101">
        <f t="shared" si="39"/>
        <v>75</v>
      </c>
      <c r="I75" s="1102">
        <f t="shared" si="40"/>
        <v>49.5</v>
      </c>
      <c r="J75" s="1103">
        <v>49.5</v>
      </c>
      <c r="K75" s="1103">
        <v>0</v>
      </c>
      <c r="L75" s="1103">
        <v>0</v>
      </c>
      <c r="M75" s="909"/>
      <c r="N75" s="909"/>
      <c r="O75" s="909"/>
      <c r="P75" s="909"/>
      <c r="Q75" s="909"/>
      <c r="R75" s="910"/>
      <c r="S75" s="515"/>
      <c r="T75" s="515"/>
      <c r="U75" s="515"/>
      <c r="V75" s="515"/>
      <c r="W75" s="515"/>
    </row>
    <row r="76" spans="1:23" s="890" customFormat="1" ht="20.149999999999999" customHeight="1">
      <c r="A76" s="908" t="s">
        <v>749</v>
      </c>
      <c r="B76" s="902" t="s">
        <v>849</v>
      </c>
      <c r="C76" s="903">
        <v>5</v>
      </c>
      <c r="D76" s="904">
        <v>1.4</v>
      </c>
      <c r="E76" s="903">
        <v>1</v>
      </c>
      <c r="F76" s="903">
        <v>1</v>
      </c>
      <c r="G76" s="903">
        <v>6</v>
      </c>
      <c r="H76" s="1101">
        <f>C76*D76*F76</f>
        <v>7</v>
      </c>
      <c r="I76" s="1102">
        <f>C76*E76*F76*16.5</f>
        <v>82.5</v>
      </c>
      <c r="J76" s="1103">
        <v>82.5</v>
      </c>
      <c r="K76" s="1103">
        <v>0</v>
      </c>
      <c r="L76" s="1103">
        <v>0</v>
      </c>
      <c r="M76" s="909"/>
      <c r="N76" s="909"/>
      <c r="O76" s="909"/>
      <c r="P76" s="909"/>
      <c r="Q76" s="909"/>
      <c r="R76" s="910"/>
      <c r="S76" s="515"/>
      <c r="T76" s="515"/>
      <c r="U76" s="515"/>
      <c r="V76" s="515"/>
      <c r="W76" s="515"/>
    </row>
    <row r="77" spans="1:23" s="890" customFormat="1" ht="20.149999999999999" customHeight="1">
      <c r="A77" s="901" t="s">
        <v>161</v>
      </c>
      <c r="B77" s="921" t="s">
        <v>1381</v>
      </c>
      <c r="C77" s="916">
        <f>SUM(C78:C82)</f>
        <v>19</v>
      </c>
      <c r="D77" s="916"/>
      <c r="E77" s="916">
        <f>SUM(E78:E82)</f>
        <v>5</v>
      </c>
      <c r="F77" s="916"/>
      <c r="G77" s="916"/>
      <c r="H77" s="1106">
        <f>SUM(H78:H82)</f>
        <v>572.5</v>
      </c>
      <c r="I77" s="1106">
        <f t="shared" ref="I77:L77" si="41">SUM(I78:I82)</f>
        <v>313.5</v>
      </c>
      <c r="J77" s="1106">
        <f t="shared" si="41"/>
        <v>115.5</v>
      </c>
      <c r="K77" s="1106">
        <f t="shared" si="41"/>
        <v>82.5</v>
      </c>
      <c r="L77" s="1106">
        <f t="shared" si="41"/>
        <v>66</v>
      </c>
      <c r="M77" s="909"/>
      <c r="N77" s="909"/>
      <c r="O77" s="909"/>
      <c r="P77" s="909"/>
      <c r="Q77" s="909"/>
      <c r="R77" s="910"/>
      <c r="S77" s="515"/>
      <c r="T77" s="515"/>
      <c r="U77" s="515"/>
      <c r="V77" s="515"/>
      <c r="W77" s="515"/>
    </row>
    <row r="78" spans="1:23" s="890" customFormat="1" ht="20.149999999999999" customHeight="1">
      <c r="A78" s="908" t="s">
        <v>163</v>
      </c>
      <c r="B78" s="914" t="s">
        <v>844</v>
      </c>
      <c r="C78" s="903">
        <v>4</v>
      </c>
      <c r="D78" s="904">
        <v>1.3</v>
      </c>
      <c r="E78" s="903">
        <v>1</v>
      </c>
      <c r="F78" s="903">
        <v>1</v>
      </c>
      <c r="G78" s="903">
        <v>25</v>
      </c>
      <c r="H78" s="1101">
        <f t="shared" si="39"/>
        <v>130</v>
      </c>
      <c r="I78" s="1102">
        <f t="shared" si="40"/>
        <v>66</v>
      </c>
      <c r="J78" s="1103">
        <v>66</v>
      </c>
      <c r="K78" s="1103">
        <v>0</v>
      </c>
      <c r="L78" s="1103">
        <v>0</v>
      </c>
      <c r="M78" s="909"/>
      <c r="N78" s="909"/>
      <c r="O78" s="909"/>
      <c r="P78" s="909"/>
      <c r="Q78" s="909"/>
      <c r="R78" s="910"/>
      <c r="S78" s="515"/>
      <c r="T78" s="515"/>
      <c r="U78" s="515"/>
      <c r="V78" s="515"/>
      <c r="W78" s="515"/>
    </row>
    <row r="79" spans="1:23" s="890" customFormat="1" ht="20.149999999999999" customHeight="1">
      <c r="A79" s="908" t="s">
        <v>164</v>
      </c>
      <c r="B79" s="914" t="s">
        <v>845</v>
      </c>
      <c r="C79" s="903">
        <v>3</v>
      </c>
      <c r="D79" s="904">
        <v>1</v>
      </c>
      <c r="E79" s="903">
        <v>1</v>
      </c>
      <c r="F79" s="903">
        <v>1</v>
      </c>
      <c r="G79" s="903">
        <v>25</v>
      </c>
      <c r="H79" s="1101">
        <f t="shared" si="39"/>
        <v>75</v>
      </c>
      <c r="I79" s="1102">
        <f t="shared" si="40"/>
        <v>49.5</v>
      </c>
      <c r="J79" s="1103">
        <v>49.5</v>
      </c>
      <c r="K79" s="1103">
        <v>0</v>
      </c>
      <c r="L79" s="1103">
        <v>0</v>
      </c>
      <c r="M79" s="909"/>
      <c r="N79" s="909"/>
      <c r="O79" s="909"/>
      <c r="P79" s="909"/>
      <c r="Q79" s="909"/>
      <c r="R79" s="910"/>
      <c r="S79" s="515"/>
      <c r="T79" s="515"/>
      <c r="U79" s="515"/>
      <c r="V79" s="515"/>
      <c r="W79" s="515"/>
    </row>
    <row r="80" spans="1:23" s="890" customFormat="1" ht="20.149999999999999" customHeight="1">
      <c r="A80" s="908" t="s">
        <v>165</v>
      </c>
      <c r="B80" s="914" t="s">
        <v>846</v>
      </c>
      <c r="C80" s="903">
        <v>4</v>
      </c>
      <c r="D80" s="904">
        <v>1.3</v>
      </c>
      <c r="E80" s="903">
        <v>1</v>
      </c>
      <c r="F80" s="903">
        <v>1</v>
      </c>
      <c r="G80" s="903">
        <v>25</v>
      </c>
      <c r="H80" s="1101">
        <f t="shared" si="39"/>
        <v>130</v>
      </c>
      <c r="I80" s="1102">
        <f t="shared" si="40"/>
        <v>66</v>
      </c>
      <c r="J80" s="1103">
        <v>0</v>
      </c>
      <c r="K80" s="1103">
        <v>0</v>
      </c>
      <c r="L80" s="1103">
        <v>66</v>
      </c>
      <c r="M80" s="909"/>
      <c r="N80" s="909"/>
      <c r="O80" s="909"/>
      <c r="P80" s="909"/>
      <c r="Q80" s="909"/>
      <c r="R80" s="910"/>
      <c r="S80" s="515"/>
      <c r="T80" s="515"/>
      <c r="U80" s="515"/>
      <c r="V80" s="515"/>
      <c r="W80" s="515"/>
    </row>
    <row r="81" spans="1:23" s="890" customFormat="1" ht="20.149999999999999" customHeight="1">
      <c r="A81" s="908" t="s">
        <v>166</v>
      </c>
      <c r="B81" s="914" t="s">
        <v>847</v>
      </c>
      <c r="C81" s="903">
        <v>5</v>
      </c>
      <c r="D81" s="904">
        <v>1.3</v>
      </c>
      <c r="E81" s="903">
        <v>1</v>
      </c>
      <c r="F81" s="903">
        <v>1</v>
      </c>
      <c r="G81" s="903">
        <v>25</v>
      </c>
      <c r="H81" s="1101">
        <f t="shared" si="39"/>
        <v>162.5</v>
      </c>
      <c r="I81" s="1102">
        <f t="shared" si="40"/>
        <v>82.5</v>
      </c>
      <c r="J81" s="1103">
        <v>0</v>
      </c>
      <c r="K81" s="1103">
        <v>82.5</v>
      </c>
      <c r="L81" s="1103">
        <v>0</v>
      </c>
      <c r="M81" s="909"/>
      <c r="N81" s="909"/>
      <c r="O81" s="909"/>
      <c r="P81" s="909"/>
      <c r="Q81" s="909"/>
      <c r="R81" s="910"/>
      <c r="S81" s="515"/>
      <c r="T81" s="515"/>
      <c r="U81" s="515"/>
      <c r="V81" s="515"/>
      <c r="W81" s="515"/>
    </row>
    <row r="82" spans="1:23" s="890" customFormat="1" ht="20.149999999999999" customHeight="1">
      <c r="A82" s="908" t="s">
        <v>168</v>
      </c>
      <c r="B82" s="902" t="s">
        <v>848</v>
      </c>
      <c r="C82" s="903">
        <v>3</v>
      </c>
      <c r="D82" s="904">
        <v>1</v>
      </c>
      <c r="E82" s="903">
        <v>1</v>
      </c>
      <c r="F82" s="903">
        <v>1</v>
      </c>
      <c r="G82" s="903">
        <v>25</v>
      </c>
      <c r="H82" s="1101">
        <f t="shared" si="39"/>
        <v>75</v>
      </c>
      <c r="I82" s="1102">
        <f t="shared" si="40"/>
        <v>49.5</v>
      </c>
      <c r="J82" s="1103">
        <v>0</v>
      </c>
      <c r="K82" s="1103">
        <v>0</v>
      </c>
      <c r="L82" s="1103">
        <v>0</v>
      </c>
      <c r="M82" s="909"/>
      <c r="N82" s="909"/>
      <c r="O82" s="909"/>
      <c r="P82" s="909"/>
      <c r="Q82" s="909"/>
      <c r="R82" s="910"/>
      <c r="S82" s="515"/>
      <c r="T82" s="515"/>
      <c r="U82" s="515"/>
      <c r="V82" s="515"/>
      <c r="W82" s="515"/>
    </row>
    <row r="83" spans="1:23" s="892" customFormat="1" ht="25.5" customHeight="1">
      <c r="A83" s="882" t="s">
        <v>1391</v>
      </c>
      <c r="B83" s="707" t="s">
        <v>175</v>
      </c>
      <c r="C83" s="922">
        <f>C84</f>
        <v>32</v>
      </c>
      <c r="D83" s="923"/>
      <c r="E83" s="922">
        <f>E84</f>
        <v>27</v>
      </c>
      <c r="F83" s="922"/>
      <c r="G83" s="922"/>
      <c r="H83" s="1107">
        <f t="shared" ref="H83" si="42">H84</f>
        <v>3200</v>
      </c>
      <c r="I83" s="1107">
        <v>1584</v>
      </c>
      <c r="J83" s="1107">
        <v>1584</v>
      </c>
      <c r="K83" s="1107">
        <v>1584</v>
      </c>
      <c r="L83" s="1107">
        <v>1584</v>
      </c>
      <c r="M83" s="922"/>
      <c r="N83" s="922"/>
      <c r="O83" s="922"/>
      <c r="P83" s="922"/>
      <c r="Q83" s="922"/>
      <c r="R83" s="934"/>
      <c r="S83" s="530"/>
      <c r="T83" s="530"/>
      <c r="U83" s="530"/>
      <c r="V83" s="530"/>
      <c r="W83" s="530"/>
    </row>
    <row r="84" spans="1:23" s="890" customFormat="1" ht="20.149999999999999" customHeight="1">
      <c r="A84" s="882">
        <v>1</v>
      </c>
      <c r="B84" s="921" t="s">
        <v>176</v>
      </c>
      <c r="C84" s="922">
        <f>C85+C91</f>
        <v>32</v>
      </c>
      <c r="D84" s="923"/>
      <c r="E84" s="922">
        <f t="shared" ref="E84" si="43">SUM(E86:E95)</f>
        <v>27</v>
      </c>
      <c r="F84" s="922"/>
      <c r="G84" s="922"/>
      <c r="H84" s="1107">
        <f>H85+H91</f>
        <v>3200</v>
      </c>
      <c r="I84" s="1107">
        <f t="shared" ref="I84:L84" si="44">I85+I91</f>
        <v>1584</v>
      </c>
      <c r="J84" s="1107">
        <f t="shared" si="44"/>
        <v>1584</v>
      </c>
      <c r="K84" s="1107">
        <f t="shared" si="44"/>
        <v>0</v>
      </c>
      <c r="L84" s="1107">
        <f t="shared" si="44"/>
        <v>0</v>
      </c>
      <c r="M84" s="909"/>
      <c r="N84" s="909"/>
      <c r="O84" s="909"/>
      <c r="P84" s="909"/>
      <c r="Q84" s="909"/>
      <c r="R84" s="910"/>
      <c r="S84" s="515"/>
      <c r="T84" s="515"/>
      <c r="U84" s="515"/>
      <c r="V84" s="515"/>
      <c r="W84" s="515"/>
    </row>
    <row r="85" spans="1:23" s="890" customFormat="1" ht="20.149999999999999" customHeight="1">
      <c r="A85" s="895" t="s">
        <v>154</v>
      </c>
      <c r="B85" s="896" t="s">
        <v>1386</v>
      </c>
      <c r="C85" s="922">
        <f>SUM(C86:C90)</f>
        <v>17</v>
      </c>
      <c r="D85" s="923"/>
      <c r="E85" s="922"/>
      <c r="F85" s="922"/>
      <c r="G85" s="922"/>
      <c r="H85" s="1107">
        <f>SUM(H86:H90)</f>
        <v>1700</v>
      </c>
      <c r="I85" s="1107">
        <f>SUM(I86:I90)</f>
        <v>841.5</v>
      </c>
      <c r="J85" s="1107">
        <f t="shared" ref="J85:L85" si="45">SUM(J86:J90)</f>
        <v>841.5</v>
      </c>
      <c r="K85" s="1107">
        <f t="shared" si="45"/>
        <v>0</v>
      </c>
      <c r="L85" s="1107">
        <f t="shared" si="45"/>
        <v>0</v>
      </c>
      <c r="M85" s="909"/>
      <c r="N85" s="909"/>
      <c r="O85" s="909"/>
      <c r="P85" s="909"/>
      <c r="Q85" s="909"/>
      <c r="R85" s="910"/>
      <c r="S85" s="515"/>
      <c r="T85" s="515"/>
      <c r="U85" s="515"/>
      <c r="V85" s="515"/>
      <c r="W85" s="515"/>
    </row>
    <row r="86" spans="1:23" s="890" customFormat="1" ht="20.149999999999999" customHeight="1">
      <c r="A86" s="908" t="s">
        <v>155</v>
      </c>
      <c r="B86" s="918" t="s">
        <v>850</v>
      </c>
      <c r="C86" s="919">
        <v>3</v>
      </c>
      <c r="D86" s="866">
        <v>1</v>
      </c>
      <c r="E86" s="919">
        <v>3</v>
      </c>
      <c r="F86" s="919">
        <v>1</v>
      </c>
      <c r="G86" s="919">
        <v>100</v>
      </c>
      <c r="H86" s="1101">
        <f t="shared" ref="H86:H95" si="46">C86*D86*G86</f>
        <v>300</v>
      </c>
      <c r="I86" s="1102">
        <f t="shared" ref="I86:I95" si="47" xml:space="preserve"> C86*E86*F86*16.5</f>
        <v>148.5</v>
      </c>
      <c r="J86" s="1103">
        <f>I86</f>
        <v>148.5</v>
      </c>
      <c r="K86" s="1103">
        <v>0</v>
      </c>
      <c r="L86" s="1103">
        <v>0</v>
      </c>
      <c r="M86" s="909"/>
      <c r="N86" s="909"/>
      <c r="O86" s="909"/>
      <c r="P86" s="909"/>
      <c r="Q86" s="909"/>
      <c r="R86" s="910"/>
      <c r="S86" s="515"/>
      <c r="T86" s="515"/>
      <c r="U86" s="515"/>
      <c r="V86" s="515"/>
      <c r="W86" s="515"/>
    </row>
    <row r="87" spans="1:23" s="890" customFormat="1" ht="27.75" customHeight="1">
      <c r="A87" s="908" t="s">
        <v>156</v>
      </c>
      <c r="B87" s="918" t="s">
        <v>851</v>
      </c>
      <c r="C87" s="919">
        <v>4</v>
      </c>
      <c r="D87" s="866">
        <v>1</v>
      </c>
      <c r="E87" s="919">
        <v>3</v>
      </c>
      <c r="F87" s="919">
        <v>1</v>
      </c>
      <c r="G87" s="919">
        <v>100</v>
      </c>
      <c r="H87" s="1101">
        <f t="shared" si="46"/>
        <v>400</v>
      </c>
      <c r="I87" s="1102">
        <f t="shared" si="47"/>
        <v>198</v>
      </c>
      <c r="J87" s="1103">
        <f t="shared" ref="J87:J95" si="48">I87</f>
        <v>198</v>
      </c>
      <c r="K87" s="1103">
        <v>0</v>
      </c>
      <c r="L87" s="1103">
        <v>0</v>
      </c>
      <c r="M87" s="909"/>
      <c r="N87" s="909"/>
      <c r="O87" s="909"/>
      <c r="P87" s="909"/>
      <c r="Q87" s="909"/>
      <c r="R87" s="910"/>
      <c r="S87" s="515"/>
      <c r="T87" s="515"/>
      <c r="U87" s="515"/>
      <c r="V87" s="515"/>
      <c r="W87" s="515"/>
    </row>
    <row r="88" spans="1:23" s="890" customFormat="1" ht="20.149999999999999" customHeight="1">
      <c r="A88" s="908" t="s">
        <v>157</v>
      </c>
      <c r="B88" s="918" t="s">
        <v>852</v>
      </c>
      <c r="C88" s="919">
        <v>4</v>
      </c>
      <c r="D88" s="866">
        <v>1</v>
      </c>
      <c r="E88" s="919">
        <v>3</v>
      </c>
      <c r="F88" s="919">
        <v>1</v>
      </c>
      <c r="G88" s="919">
        <v>100</v>
      </c>
      <c r="H88" s="1101">
        <f t="shared" si="46"/>
        <v>400</v>
      </c>
      <c r="I88" s="1102">
        <f t="shared" si="47"/>
        <v>198</v>
      </c>
      <c r="J88" s="1103">
        <f t="shared" si="48"/>
        <v>198</v>
      </c>
      <c r="K88" s="1103">
        <v>0</v>
      </c>
      <c r="L88" s="1103">
        <v>0</v>
      </c>
      <c r="M88" s="909"/>
      <c r="N88" s="909"/>
      <c r="O88" s="909"/>
      <c r="P88" s="909"/>
      <c r="Q88" s="909"/>
      <c r="R88" s="910"/>
      <c r="S88" s="515"/>
      <c r="T88" s="515"/>
      <c r="U88" s="515"/>
      <c r="V88" s="515"/>
      <c r="W88" s="515"/>
    </row>
    <row r="89" spans="1:23" s="890" customFormat="1" ht="20.149999999999999" customHeight="1">
      <c r="A89" s="908" t="s">
        <v>158</v>
      </c>
      <c r="B89" s="918" t="s">
        <v>814</v>
      </c>
      <c r="C89" s="919">
        <v>3</v>
      </c>
      <c r="D89" s="866">
        <v>1</v>
      </c>
      <c r="E89" s="919">
        <v>3</v>
      </c>
      <c r="F89" s="919">
        <v>1</v>
      </c>
      <c r="G89" s="919">
        <v>100</v>
      </c>
      <c r="H89" s="1101">
        <f t="shared" si="46"/>
        <v>300</v>
      </c>
      <c r="I89" s="1102">
        <f t="shared" si="47"/>
        <v>148.5</v>
      </c>
      <c r="J89" s="1103">
        <f t="shared" si="48"/>
        <v>148.5</v>
      </c>
      <c r="K89" s="1103">
        <v>0</v>
      </c>
      <c r="L89" s="1103">
        <v>0</v>
      </c>
      <c r="M89" s="909"/>
      <c r="N89" s="909"/>
      <c r="O89" s="909"/>
      <c r="P89" s="909"/>
      <c r="Q89" s="909"/>
      <c r="R89" s="910"/>
      <c r="S89" s="515"/>
      <c r="T89" s="515"/>
      <c r="U89" s="515"/>
      <c r="V89" s="515"/>
      <c r="W89" s="515"/>
    </row>
    <row r="90" spans="1:23" s="890" customFormat="1" ht="20.149999999999999" customHeight="1">
      <c r="A90" s="908" t="s">
        <v>159</v>
      </c>
      <c r="B90" s="918" t="s">
        <v>843</v>
      </c>
      <c r="C90" s="919">
        <v>3</v>
      </c>
      <c r="D90" s="866">
        <v>1</v>
      </c>
      <c r="E90" s="919">
        <v>3</v>
      </c>
      <c r="F90" s="919">
        <v>1</v>
      </c>
      <c r="G90" s="919">
        <v>100</v>
      </c>
      <c r="H90" s="1101">
        <f t="shared" si="46"/>
        <v>300</v>
      </c>
      <c r="I90" s="1102">
        <f t="shared" si="47"/>
        <v>148.5</v>
      </c>
      <c r="J90" s="1103">
        <f t="shared" si="48"/>
        <v>148.5</v>
      </c>
      <c r="K90" s="1103">
        <v>0</v>
      </c>
      <c r="L90" s="1103">
        <v>0</v>
      </c>
      <c r="M90" s="909"/>
      <c r="N90" s="909"/>
      <c r="O90" s="909"/>
      <c r="P90" s="909"/>
      <c r="Q90" s="909"/>
      <c r="R90" s="910"/>
      <c r="S90" s="515"/>
      <c r="T90" s="515"/>
      <c r="U90" s="515"/>
      <c r="V90" s="515"/>
      <c r="W90" s="515"/>
    </row>
    <row r="91" spans="1:23" s="890" customFormat="1" ht="20.149999999999999" customHeight="1">
      <c r="A91" s="901" t="s">
        <v>161</v>
      </c>
      <c r="B91" s="921" t="s">
        <v>1381</v>
      </c>
      <c r="C91" s="922">
        <f>SUM(C92:C95)</f>
        <v>15</v>
      </c>
      <c r="D91" s="923"/>
      <c r="E91" s="922"/>
      <c r="F91" s="922"/>
      <c r="G91" s="922"/>
      <c r="H91" s="1107">
        <f>SUM(H92:H95)</f>
        <v>1500</v>
      </c>
      <c r="I91" s="1107">
        <f t="shared" ref="I91:L91" si="49">SUM(I92:I95)</f>
        <v>742.5</v>
      </c>
      <c r="J91" s="1107">
        <f t="shared" si="49"/>
        <v>742.5</v>
      </c>
      <c r="K91" s="1107">
        <f t="shared" si="49"/>
        <v>0</v>
      </c>
      <c r="L91" s="1107">
        <f t="shared" si="49"/>
        <v>0</v>
      </c>
      <c r="M91" s="909"/>
      <c r="N91" s="909"/>
      <c r="O91" s="909"/>
      <c r="P91" s="909"/>
      <c r="Q91" s="909"/>
      <c r="R91" s="910"/>
      <c r="S91" s="515"/>
      <c r="T91" s="515"/>
      <c r="U91" s="515"/>
      <c r="V91" s="515"/>
      <c r="W91" s="515"/>
    </row>
    <row r="92" spans="1:23" s="890" customFormat="1" ht="20.149999999999999" customHeight="1">
      <c r="A92" s="908" t="s">
        <v>163</v>
      </c>
      <c r="B92" s="918" t="s">
        <v>811</v>
      </c>
      <c r="C92" s="919">
        <v>4</v>
      </c>
      <c r="D92" s="866">
        <v>1</v>
      </c>
      <c r="E92" s="919">
        <v>3</v>
      </c>
      <c r="F92" s="919">
        <v>1</v>
      </c>
      <c r="G92" s="919">
        <v>100</v>
      </c>
      <c r="H92" s="1101">
        <f t="shared" si="46"/>
        <v>400</v>
      </c>
      <c r="I92" s="1102">
        <f t="shared" si="47"/>
        <v>198</v>
      </c>
      <c r="J92" s="1103">
        <f t="shared" si="48"/>
        <v>198</v>
      </c>
      <c r="K92" s="1103">
        <v>0</v>
      </c>
      <c r="L92" s="1103">
        <v>0</v>
      </c>
      <c r="M92" s="909"/>
      <c r="N92" s="909"/>
      <c r="O92" s="909"/>
      <c r="P92" s="909"/>
      <c r="Q92" s="909"/>
      <c r="R92" s="910"/>
      <c r="S92" s="515"/>
      <c r="T92" s="515"/>
      <c r="U92" s="515"/>
      <c r="V92" s="515"/>
      <c r="W92" s="515"/>
    </row>
    <row r="93" spans="1:23" s="890" customFormat="1" ht="20.149999999999999" customHeight="1">
      <c r="A93" s="908" t="s">
        <v>164</v>
      </c>
      <c r="B93" s="918" t="s">
        <v>853</v>
      </c>
      <c r="C93" s="919">
        <v>4</v>
      </c>
      <c r="D93" s="866">
        <v>1</v>
      </c>
      <c r="E93" s="919">
        <v>3</v>
      </c>
      <c r="F93" s="919">
        <v>1</v>
      </c>
      <c r="G93" s="919">
        <v>100</v>
      </c>
      <c r="H93" s="1101">
        <f t="shared" si="46"/>
        <v>400</v>
      </c>
      <c r="I93" s="1102">
        <f t="shared" si="47"/>
        <v>198</v>
      </c>
      <c r="J93" s="1103">
        <f t="shared" si="48"/>
        <v>198</v>
      </c>
      <c r="K93" s="1103">
        <v>0</v>
      </c>
      <c r="L93" s="1103">
        <v>0</v>
      </c>
      <c r="M93" s="909"/>
      <c r="N93" s="909"/>
      <c r="O93" s="909"/>
      <c r="P93" s="909"/>
      <c r="Q93" s="909"/>
      <c r="R93" s="910"/>
      <c r="S93" s="515"/>
      <c r="T93" s="515"/>
      <c r="U93" s="515"/>
      <c r="V93" s="515"/>
      <c r="W93" s="515"/>
    </row>
    <row r="94" spans="1:23" s="890" customFormat="1" ht="20.149999999999999" customHeight="1">
      <c r="A94" s="908" t="s">
        <v>165</v>
      </c>
      <c r="B94" s="918" t="s">
        <v>854</v>
      </c>
      <c r="C94" s="919">
        <v>3</v>
      </c>
      <c r="D94" s="866">
        <v>1</v>
      </c>
      <c r="E94" s="919">
        <v>3</v>
      </c>
      <c r="F94" s="919">
        <v>1</v>
      </c>
      <c r="G94" s="919">
        <v>100</v>
      </c>
      <c r="H94" s="1101">
        <f t="shared" si="46"/>
        <v>300</v>
      </c>
      <c r="I94" s="1102">
        <f t="shared" si="47"/>
        <v>148.5</v>
      </c>
      <c r="J94" s="1103">
        <f t="shared" si="48"/>
        <v>148.5</v>
      </c>
      <c r="K94" s="1103">
        <v>0</v>
      </c>
      <c r="L94" s="1103">
        <v>0</v>
      </c>
      <c r="M94" s="909"/>
      <c r="N94" s="909"/>
      <c r="O94" s="909"/>
      <c r="P94" s="909"/>
      <c r="Q94" s="909"/>
      <c r="R94" s="910"/>
      <c r="S94" s="515"/>
      <c r="T94" s="515"/>
      <c r="U94" s="515"/>
      <c r="V94" s="515"/>
      <c r="W94" s="515"/>
    </row>
    <row r="95" spans="1:23" s="872" customFormat="1" ht="20.149999999999999" customHeight="1">
      <c r="A95" s="908" t="s">
        <v>166</v>
      </c>
      <c r="B95" s="737" t="s">
        <v>842</v>
      </c>
      <c r="C95" s="936">
        <v>4</v>
      </c>
      <c r="D95" s="937">
        <v>1</v>
      </c>
      <c r="E95" s="936">
        <v>3</v>
      </c>
      <c r="F95" s="936">
        <v>1</v>
      </c>
      <c r="G95" s="936">
        <v>100</v>
      </c>
      <c r="H95" s="1109">
        <f t="shared" si="46"/>
        <v>400</v>
      </c>
      <c r="I95" s="1102">
        <f t="shared" si="47"/>
        <v>198</v>
      </c>
      <c r="J95" s="1103">
        <f t="shared" si="48"/>
        <v>198</v>
      </c>
      <c r="K95" s="1103">
        <v>0</v>
      </c>
      <c r="L95" s="1103">
        <v>0</v>
      </c>
      <c r="M95" s="936"/>
      <c r="N95" s="936"/>
      <c r="O95" s="1371"/>
      <c r="P95" s="1371"/>
      <c r="Q95" s="1371"/>
      <c r="R95" s="1372"/>
      <c r="S95" s="501"/>
      <c r="T95" s="501"/>
      <c r="U95" s="501"/>
      <c r="V95" s="501"/>
      <c r="W95" s="501"/>
    </row>
    <row r="96" spans="1:23" s="890" customFormat="1" ht="20.149999999999999" customHeight="1">
      <c r="A96" s="882" t="s">
        <v>559</v>
      </c>
      <c r="B96" s="707" t="s">
        <v>855</v>
      </c>
      <c r="C96" s="893">
        <f>C97</f>
        <v>90</v>
      </c>
      <c r="D96" s="894"/>
      <c r="E96" s="893"/>
      <c r="F96" s="893"/>
      <c r="G96" s="893"/>
      <c r="H96" s="1099">
        <f t="shared" ref="H96:L96" si="50">H97</f>
        <v>2153.8000000000002</v>
      </c>
      <c r="I96" s="1099">
        <f t="shared" si="50"/>
        <v>1528.5</v>
      </c>
      <c r="J96" s="1099">
        <f t="shared" si="50"/>
        <v>1221</v>
      </c>
      <c r="K96" s="1099">
        <f t="shared" si="50"/>
        <v>0</v>
      </c>
      <c r="L96" s="1099">
        <f t="shared" si="50"/>
        <v>241.5</v>
      </c>
      <c r="M96" s="893"/>
      <c r="N96" s="893"/>
      <c r="O96" s="893"/>
      <c r="P96" s="893"/>
      <c r="Q96" s="893"/>
      <c r="R96" s="880"/>
      <c r="S96" s="501"/>
      <c r="T96" s="501"/>
      <c r="U96" s="501"/>
      <c r="V96" s="501"/>
      <c r="W96" s="501"/>
    </row>
    <row r="97" spans="1:23" s="890" customFormat="1" ht="20.149999999999999" customHeight="1">
      <c r="A97" s="882" t="s">
        <v>1390</v>
      </c>
      <c r="B97" s="707" t="s">
        <v>810</v>
      </c>
      <c r="C97" s="893">
        <f>C98</f>
        <v>90</v>
      </c>
      <c r="D97" s="893"/>
      <c r="E97" s="893">
        <f t="shared" ref="E97" si="51">E98</f>
        <v>25</v>
      </c>
      <c r="F97" s="893"/>
      <c r="G97" s="893"/>
      <c r="H97" s="1099">
        <f t="shared" ref="H97:L97" si="52">H98</f>
        <v>2153.8000000000002</v>
      </c>
      <c r="I97" s="1099">
        <f t="shared" si="52"/>
        <v>1528.5</v>
      </c>
      <c r="J97" s="1099">
        <f t="shared" si="52"/>
        <v>1221</v>
      </c>
      <c r="K97" s="1099">
        <f t="shared" si="52"/>
        <v>0</v>
      </c>
      <c r="L97" s="1099">
        <f t="shared" si="52"/>
        <v>241.5</v>
      </c>
      <c r="M97" s="893"/>
      <c r="N97" s="893"/>
      <c r="O97" s="893"/>
      <c r="P97" s="893"/>
      <c r="Q97" s="893"/>
      <c r="R97" s="880"/>
      <c r="S97" s="501"/>
      <c r="T97" s="501"/>
      <c r="U97" s="501"/>
      <c r="V97" s="501"/>
      <c r="W97" s="501"/>
    </row>
    <row r="98" spans="1:23" s="684" customFormat="1" ht="20.149999999999999" customHeight="1">
      <c r="A98" s="882">
        <v>1</v>
      </c>
      <c r="B98" s="707" t="s">
        <v>20</v>
      </c>
      <c r="C98" s="893">
        <f>C99+C111</f>
        <v>90</v>
      </c>
      <c r="D98" s="893"/>
      <c r="E98" s="893">
        <f>E99+E111</f>
        <v>25</v>
      </c>
      <c r="F98" s="893"/>
      <c r="G98" s="893"/>
      <c r="H98" s="1099">
        <f>H99+H111</f>
        <v>2153.8000000000002</v>
      </c>
      <c r="I98" s="1099">
        <f>I99+I111</f>
        <v>1528.5</v>
      </c>
      <c r="J98" s="1099">
        <f>J99+J111</f>
        <v>1221</v>
      </c>
      <c r="K98" s="1099">
        <f>K99+K111</f>
        <v>0</v>
      </c>
      <c r="L98" s="1099">
        <f>L99+L111</f>
        <v>241.5</v>
      </c>
      <c r="M98" s="893"/>
      <c r="N98" s="893"/>
      <c r="O98" s="893"/>
      <c r="P98" s="893"/>
      <c r="Q98" s="893"/>
      <c r="R98" s="880"/>
      <c r="S98" s="501"/>
      <c r="T98" s="501"/>
      <c r="U98" s="501"/>
      <c r="V98" s="501"/>
      <c r="W98" s="501"/>
    </row>
    <row r="99" spans="1:23" s="938" customFormat="1" ht="20.149999999999999" customHeight="1">
      <c r="A99" s="895" t="s">
        <v>154</v>
      </c>
      <c r="B99" s="896" t="s">
        <v>1386</v>
      </c>
      <c r="C99" s="897">
        <f>SUM(C100:C110)</f>
        <v>39</v>
      </c>
      <c r="D99" s="898"/>
      <c r="E99" s="897">
        <f>SUM(E100:E110)</f>
        <v>11</v>
      </c>
      <c r="F99" s="897"/>
      <c r="G99" s="897"/>
      <c r="H99" s="1100">
        <f>SUM(H100:H110)</f>
        <v>1144.2</v>
      </c>
      <c r="I99" s="1100">
        <f>SUM(I100:I110)</f>
        <v>667.5</v>
      </c>
      <c r="J99" s="1100">
        <f>SUM(J100:J110)</f>
        <v>490.5</v>
      </c>
      <c r="K99" s="1100">
        <f>SUM(K100:K110)</f>
        <v>0</v>
      </c>
      <c r="L99" s="1100">
        <f>SUM(L100:L110)</f>
        <v>177</v>
      </c>
      <c r="M99" s="899"/>
      <c r="N99" s="899"/>
      <c r="O99" s="899"/>
      <c r="P99" s="899"/>
      <c r="Q99" s="899"/>
      <c r="R99" s="900"/>
      <c r="S99" s="512"/>
      <c r="T99" s="512"/>
      <c r="U99" s="512"/>
      <c r="V99" s="512"/>
      <c r="W99" s="512"/>
    </row>
    <row r="100" spans="1:23" s="684" customFormat="1" ht="20.149999999999999" customHeight="1">
      <c r="A100" s="901" t="s">
        <v>155</v>
      </c>
      <c r="B100" s="918" t="s">
        <v>856</v>
      </c>
      <c r="C100" s="903">
        <v>2</v>
      </c>
      <c r="D100" s="904">
        <v>1</v>
      </c>
      <c r="E100" s="903">
        <v>1</v>
      </c>
      <c r="F100" s="903">
        <v>1</v>
      </c>
      <c r="G100" s="903">
        <v>32</v>
      </c>
      <c r="H100" s="1101">
        <v>128</v>
      </c>
      <c r="I100" s="1102">
        <v>66</v>
      </c>
      <c r="J100" s="1103">
        <v>66</v>
      </c>
      <c r="K100" s="1103">
        <v>0</v>
      </c>
      <c r="L100" s="1108">
        <v>0</v>
      </c>
      <c r="M100" s="906"/>
      <c r="N100" s="906"/>
      <c r="O100" s="906"/>
      <c r="P100" s="906"/>
      <c r="Q100" s="906"/>
      <c r="R100" s="917"/>
      <c r="S100" s="515"/>
      <c r="T100" s="515"/>
      <c r="U100" s="515"/>
      <c r="V100" s="515"/>
      <c r="W100" s="515"/>
    </row>
    <row r="101" spans="1:23" s="684" customFormat="1" ht="20.149999999999999" customHeight="1">
      <c r="A101" s="901" t="s">
        <v>156</v>
      </c>
      <c r="B101" s="918" t="s">
        <v>857</v>
      </c>
      <c r="C101" s="919">
        <v>2</v>
      </c>
      <c r="D101" s="866">
        <v>1</v>
      </c>
      <c r="E101" s="903">
        <v>1</v>
      </c>
      <c r="F101" s="903">
        <v>1</v>
      </c>
      <c r="G101" s="919">
        <v>32</v>
      </c>
      <c r="H101" s="1101">
        <v>64</v>
      </c>
      <c r="I101" s="1102">
        <v>33</v>
      </c>
      <c r="J101" s="1103">
        <v>33</v>
      </c>
      <c r="K101" s="1103">
        <v>0</v>
      </c>
      <c r="L101" s="1108">
        <v>0</v>
      </c>
      <c r="M101" s="906"/>
      <c r="N101" s="906"/>
      <c r="O101" s="906"/>
      <c r="P101" s="906"/>
      <c r="Q101" s="906"/>
      <c r="R101" s="917"/>
      <c r="S101" s="515"/>
      <c r="T101" s="515"/>
      <c r="U101" s="515"/>
      <c r="V101" s="515"/>
      <c r="W101" s="515"/>
    </row>
    <row r="102" spans="1:23" s="684" customFormat="1" ht="20.149999999999999" customHeight="1">
      <c r="A102" s="901" t="s">
        <v>157</v>
      </c>
      <c r="B102" s="918" t="s">
        <v>859</v>
      </c>
      <c r="C102" s="903">
        <v>3</v>
      </c>
      <c r="D102" s="904">
        <v>1</v>
      </c>
      <c r="E102" s="903">
        <v>1</v>
      </c>
      <c r="F102" s="903">
        <v>1</v>
      </c>
      <c r="G102" s="903">
        <v>50</v>
      </c>
      <c r="H102" s="1101">
        <v>150</v>
      </c>
      <c r="I102" s="1101">
        <v>49.5</v>
      </c>
      <c r="J102" s="1101">
        <v>49.5</v>
      </c>
      <c r="K102" s="1103">
        <v>0</v>
      </c>
      <c r="L102" s="1108">
        <v>0</v>
      </c>
      <c r="M102" s="906"/>
      <c r="N102" s="906"/>
      <c r="O102" s="906"/>
      <c r="P102" s="906"/>
      <c r="Q102" s="906"/>
      <c r="R102" s="917"/>
      <c r="S102" s="515"/>
      <c r="T102" s="515"/>
      <c r="U102" s="515"/>
      <c r="V102" s="515"/>
      <c r="W102" s="515"/>
    </row>
    <row r="103" spans="1:23" s="684" customFormat="1" ht="20.149999999999999" customHeight="1">
      <c r="A103" s="901" t="s">
        <v>158</v>
      </c>
      <c r="B103" s="918" t="s">
        <v>860</v>
      </c>
      <c r="C103" s="903">
        <v>4</v>
      </c>
      <c r="D103" s="904">
        <v>1</v>
      </c>
      <c r="E103" s="903">
        <v>1</v>
      </c>
      <c r="F103" s="903">
        <v>1</v>
      </c>
      <c r="G103" s="903">
        <v>10</v>
      </c>
      <c r="H103" s="1101">
        <v>40</v>
      </c>
      <c r="I103" s="1101">
        <v>66</v>
      </c>
      <c r="J103" s="1101">
        <v>66</v>
      </c>
      <c r="K103" s="1103">
        <v>0</v>
      </c>
      <c r="L103" s="1103">
        <v>0</v>
      </c>
      <c r="M103" s="909"/>
      <c r="N103" s="909"/>
      <c r="O103" s="909"/>
      <c r="P103" s="909"/>
      <c r="Q103" s="909"/>
      <c r="R103" s="910"/>
      <c r="S103" s="515"/>
      <c r="T103" s="515"/>
      <c r="U103" s="515"/>
      <c r="V103" s="515"/>
      <c r="W103" s="515"/>
    </row>
    <row r="104" spans="1:23" s="684" customFormat="1" ht="20.149999999999999" customHeight="1">
      <c r="A104" s="901" t="s">
        <v>159</v>
      </c>
      <c r="B104" s="918" t="s">
        <v>861</v>
      </c>
      <c r="C104" s="903">
        <v>3</v>
      </c>
      <c r="D104" s="904">
        <v>1.3</v>
      </c>
      <c r="E104" s="903">
        <v>1</v>
      </c>
      <c r="F104" s="903">
        <v>1</v>
      </c>
      <c r="G104" s="903">
        <v>18</v>
      </c>
      <c r="H104" s="1101">
        <v>70.2</v>
      </c>
      <c r="I104" s="1101">
        <v>48</v>
      </c>
      <c r="J104" s="1103">
        <v>0</v>
      </c>
      <c r="K104" s="1103">
        <v>0</v>
      </c>
      <c r="L104" s="1101">
        <v>48</v>
      </c>
      <c r="M104" s="909"/>
      <c r="N104" s="909"/>
      <c r="O104" s="909"/>
      <c r="P104" s="909"/>
      <c r="Q104" s="909"/>
      <c r="R104" s="910"/>
      <c r="S104" s="515"/>
      <c r="T104" s="515"/>
      <c r="U104" s="515"/>
      <c r="V104" s="515"/>
      <c r="W104" s="515"/>
    </row>
    <row r="105" spans="1:23" s="684" customFormat="1" ht="20.149999999999999" customHeight="1">
      <c r="A105" s="901" t="s">
        <v>160</v>
      </c>
      <c r="B105" s="918" t="s">
        <v>862</v>
      </c>
      <c r="C105" s="903">
        <v>4</v>
      </c>
      <c r="D105" s="904">
        <v>1.3</v>
      </c>
      <c r="E105" s="903">
        <v>1</v>
      </c>
      <c r="F105" s="903">
        <v>1</v>
      </c>
      <c r="G105" s="903">
        <v>18</v>
      </c>
      <c r="H105" s="1101">
        <v>93.600000000000009</v>
      </c>
      <c r="I105" s="1101">
        <v>64.5</v>
      </c>
      <c r="J105" s="1103">
        <v>0</v>
      </c>
      <c r="K105" s="1103">
        <v>0</v>
      </c>
      <c r="L105" s="1101">
        <v>64.5</v>
      </c>
      <c r="M105" s="909"/>
      <c r="N105" s="909"/>
      <c r="O105" s="909"/>
      <c r="P105" s="909"/>
      <c r="Q105" s="909"/>
      <c r="R105" s="910"/>
      <c r="S105" s="515"/>
      <c r="T105" s="515"/>
      <c r="U105" s="515"/>
      <c r="V105" s="515"/>
      <c r="W105" s="515"/>
    </row>
    <row r="106" spans="1:23" s="684" customFormat="1" ht="20.149999999999999" customHeight="1">
      <c r="A106" s="901" t="s">
        <v>749</v>
      </c>
      <c r="B106" s="918" t="s">
        <v>863</v>
      </c>
      <c r="C106" s="903">
        <v>3</v>
      </c>
      <c r="D106" s="904">
        <v>1.3</v>
      </c>
      <c r="E106" s="903">
        <v>1</v>
      </c>
      <c r="F106" s="903">
        <v>1</v>
      </c>
      <c r="G106" s="903">
        <v>18</v>
      </c>
      <c r="H106" s="1101">
        <v>70.2</v>
      </c>
      <c r="I106" s="1101">
        <v>48</v>
      </c>
      <c r="J106" s="1101">
        <v>48</v>
      </c>
      <c r="K106" s="1103">
        <v>0</v>
      </c>
      <c r="L106" s="1103">
        <v>0</v>
      </c>
      <c r="M106" s="909"/>
      <c r="N106" s="909"/>
      <c r="O106" s="909"/>
      <c r="P106" s="909"/>
      <c r="Q106" s="909"/>
      <c r="R106" s="910"/>
      <c r="S106" s="515"/>
      <c r="T106" s="515"/>
      <c r="U106" s="515"/>
      <c r="V106" s="515"/>
      <c r="W106" s="515"/>
    </row>
    <row r="107" spans="1:23" s="684" customFormat="1" ht="20.149999999999999" customHeight="1">
      <c r="A107" s="901" t="s">
        <v>750</v>
      </c>
      <c r="B107" s="918" t="s">
        <v>864</v>
      </c>
      <c r="C107" s="903">
        <v>4</v>
      </c>
      <c r="D107" s="904">
        <v>1.3</v>
      </c>
      <c r="E107" s="903">
        <v>1</v>
      </c>
      <c r="F107" s="903">
        <v>1</v>
      </c>
      <c r="G107" s="903">
        <v>18</v>
      </c>
      <c r="H107" s="1101">
        <v>93.600000000000009</v>
      </c>
      <c r="I107" s="1101">
        <v>64.5</v>
      </c>
      <c r="J107" s="1101">
        <v>64.5</v>
      </c>
      <c r="K107" s="1103">
        <v>0</v>
      </c>
      <c r="L107" s="1103">
        <v>0</v>
      </c>
      <c r="M107" s="909"/>
      <c r="N107" s="909"/>
      <c r="O107" s="909"/>
      <c r="P107" s="909"/>
      <c r="Q107" s="909"/>
      <c r="R107" s="910"/>
      <c r="S107" s="515"/>
      <c r="T107" s="515"/>
      <c r="U107" s="515"/>
      <c r="V107" s="515"/>
      <c r="W107" s="515"/>
    </row>
    <row r="108" spans="1:23" s="872" customFormat="1" ht="20.149999999999999" customHeight="1">
      <c r="A108" s="901" t="s">
        <v>752</v>
      </c>
      <c r="B108" s="918" t="s">
        <v>865</v>
      </c>
      <c r="C108" s="903">
        <v>4</v>
      </c>
      <c r="D108" s="904">
        <v>1.3</v>
      </c>
      <c r="E108" s="903">
        <v>1</v>
      </c>
      <c r="F108" s="903">
        <v>1</v>
      </c>
      <c r="G108" s="903">
        <v>18</v>
      </c>
      <c r="H108" s="1101">
        <v>93.600000000000009</v>
      </c>
      <c r="I108" s="1101">
        <v>64.5</v>
      </c>
      <c r="J108" s="1103">
        <v>0</v>
      </c>
      <c r="K108" s="1103">
        <v>0</v>
      </c>
      <c r="L108" s="1101">
        <v>64.5</v>
      </c>
      <c r="M108" s="909"/>
      <c r="N108" s="909"/>
      <c r="O108" s="909"/>
      <c r="P108" s="909"/>
      <c r="Q108" s="909"/>
      <c r="R108" s="910"/>
      <c r="S108" s="515"/>
      <c r="T108" s="515"/>
      <c r="U108" s="515"/>
      <c r="V108" s="515"/>
      <c r="W108" s="515"/>
    </row>
    <row r="109" spans="1:23" s="684" customFormat="1" ht="20.149999999999999" customHeight="1">
      <c r="A109" s="901" t="s">
        <v>753</v>
      </c>
      <c r="B109" s="918" t="s">
        <v>858</v>
      </c>
      <c r="C109" s="903">
        <v>5</v>
      </c>
      <c r="D109" s="904">
        <v>1.3</v>
      </c>
      <c r="E109" s="903">
        <v>1</v>
      </c>
      <c r="F109" s="903">
        <v>1</v>
      </c>
      <c r="G109" s="903">
        <v>32</v>
      </c>
      <c r="H109" s="1101">
        <v>208</v>
      </c>
      <c r="I109" s="1101">
        <v>81</v>
      </c>
      <c r="J109" s="1101">
        <v>81</v>
      </c>
      <c r="K109" s="1103">
        <v>0</v>
      </c>
      <c r="L109" s="1108">
        <v>0</v>
      </c>
      <c r="M109" s="906"/>
      <c r="N109" s="906"/>
      <c r="O109" s="906"/>
      <c r="P109" s="906"/>
      <c r="Q109" s="906"/>
      <c r="R109" s="917"/>
      <c r="S109" s="515"/>
      <c r="T109" s="515"/>
      <c r="U109" s="515"/>
      <c r="V109" s="515"/>
      <c r="W109" s="515"/>
    </row>
    <row r="110" spans="1:23" ht="20.149999999999999" customHeight="1">
      <c r="A110" s="901" t="s">
        <v>755</v>
      </c>
      <c r="B110" s="902" t="s">
        <v>875</v>
      </c>
      <c r="C110" s="903">
        <v>5</v>
      </c>
      <c r="D110" s="904">
        <v>1.4</v>
      </c>
      <c r="E110" s="903">
        <v>1</v>
      </c>
      <c r="F110" s="903">
        <v>1</v>
      </c>
      <c r="G110" s="903">
        <v>19</v>
      </c>
      <c r="H110" s="1101">
        <f>C110*D110*G110</f>
        <v>133</v>
      </c>
      <c r="I110" s="1101">
        <f>C110*E110*F110*16.5</f>
        <v>82.5</v>
      </c>
      <c r="J110" s="1103">
        <f>I110</f>
        <v>82.5</v>
      </c>
      <c r="K110" s="1103">
        <v>0</v>
      </c>
      <c r="L110" s="1103">
        <v>0</v>
      </c>
      <c r="M110" s="909"/>
      <c r="N110" s="909"/>
      <c r="O110" s="909"/>
      <c r="P110" s="909"/>
      <c r="Q110" s="909"/>
      <c r="R110" s="910"/>
      <c r="S110" s="515"/>
      <c r="T110" s="515"/>
      <c r="U110" s="515"/>
      <c r="V110" s="515"/>
      <c r="W110" s="515"/>
    </row>
    <row r="111" spans="1:23" s="938" customFormat="1" ht="20.149999999999999" customHeight="1">
      <c r="A111" s="911" t="s">
        <v>161</v>
      </c>
      <c r="B111" s="896" t="s">
        <v>1381</v>
      </c>
      <c r="C111" s="912">
        <f>SUM(C112:C125)</f>
        <v>51</v>
      </c>
      <c r="D111" s="912"/>
      <c r="E111" s="912">
        <f t="shared" ref="E111" si="53">SUM(E112:E125)</f>
        <v>14</v>
      </c>
      <c r="F111" s="912"/>
      <c r="G111" s="912"/>
      <c r="H111" s="1105">
        <f>SUM(H112:H125)</f>
        <v>1009.6000000000001</v>
      </c>
      <c r="I111" s="1105">
        <f>SUM(I112:I125)</f>
        <v>861</v>
      </c>
      <c r="J111" s="1105">
        <f t="shared" ref="J111:L111" si="54">SUM(J112:J125)</f>
        <v>730.5</v>
      </c>
      <c r="K111" s="1105">
        <f t="shared" si="54"/>
        <v>0</v>
      </c>
      <c r="L111" s="1105">
        <f t="shared" si="54"/>
        <v>64.5</v>
      </c>
      <c r="M111" s="899"/>
      <c r="N111" s="899"/>
      <c r="O111" s="899"/>
      <c r="P111" s="899"/>
      <c r="Q111" s="899"/>
      <c r="R111" s="900"/>
      <c r="S111" s="512"/>
      <c r="T111" s="512"/>
      <c r="U111" s="512"/>
      <c r="V111" s="512"/>
      <c r="W111" s="512"/>
    </row>
    <row r="112" spans="1:23" s="684" customFormat="1" ht="20.149999999999999" customHeight="1">
      <c r="A112" s="901" t="s">
        <v>163</v>
      </c>
      <c r="B112" s="918" t="s">
        <v>856</v>
      </c>
      <c r="C112" s="903">
        <v>2</v>
      </c>
      <c r="D112" s="904">
        <v>1</v>
      </c>
      <c r="E112" s="903">
        <v>1</v>
      </c>
      <c r="F112" s="903">
        <v>1</v>
      </c>
      <c r="G112" s="903">
        <v>32</v>
      </c>
      <c r="H112" s="1101">
        <v>128</v>
      </c>
      <c r="I112" s="1102">
        <v>66</v>
      </c>
      <c r="J112" s="1103">
        <v>66</v>
      </c>
      <c r="K112" s="1103">
        <v>0</v>
      </c>
      <c r="L112" s="1108">
        <v>0</v>
      </c>
      <c r="M112" s="906"/>
      <c r="N112" s="906"/>
      <c r="O112" s="906"/>
      <c r="P112" s="906"/>
      <c r="Q112" s="906"/>
      <c r="R112" s="917"/>
      <c r="S112" s="515"/>
      <c r="T112" s="515"/>
      <c r="U112" s="515"/>
      <c r="V112" s="515"/>
      <c r="W112" s="515"/>
    </row>
    <row r="113" spans="1:23" s="872" customFormat="1" ht="20.149999999999999" customHeight="1">
      <c r="A113" s="908" t="s">
        <v>164</v>
      </c>
      <c r="B113" s="918" t="s">
        <v>866</v>
      </c>
      <c r="C113" s="903">
        <v>3</v>
      </c>
      <c r="D113" s="904">
        <v>1.3</v>
      </c>
      <c r="E113" s="903">
        <v>1</v>
      </c>
      <c r="F113" s="903">
        <v>1</v>
      </c>
      <c r="G113" s="903">
        <v>50</v>
      </c>
      <c r="H113" s="1101">
        <v>195.00000000000003</v>
      </c>
      <c r="I113" s="1101">
        <v>48</v>
      </c>
      <c r="J113" s="1103">
        <v>48</v>
      </c>
      <c r="K113" s="1103">
        <v>0</v>
      </c>
      <c r="L113" s="1103">
        <v>0</v>
      </c>
      <c r="M113" s="909"/>
      <c r="N113" s="909"/>
      <c r="O113" s="909"/>
      <c r="P113" s="909"/>
      <c r="Q113" s="909"/>
      <c r="R113" s="910"/>
      <c r="S113" s="515"/>
      <c r="T113" s="515"/>
      <c r="U113" s="515"/>
      <c r="V113" s="515"/>
      <c r="W113" s="515"/>
    </row>
    <row r="114" spans="1:23" ht="20.149999999999999" customHeight="1">
      <c r="A114" s="901" t="s">
        <v>165</v>
      </c>
      <c r="B114" s="918" t="s">
        <v>856</v>
      </c>
      <c r="C114" s="903">
        <v>4</v>
      </c>
      <c r="D114" s="904">
        <v>1</v>
      </c>
      <c r="E114" s="903">
        <v>1</v>
      </c>
      <c r="F114" s="903">
        <v>1</v>
      </c>
      <c r="G114" s="903">
        <v>10</v>
      </c>
      <c r="H114" s="1101">
        <v>40</v>
      </c>
      <c r="I114" s="1101">
        <v>66</v>
      </c>
      <c r="J114" s="1103">
        <v>0</v>
      </c>
      <c r="K114" s="1103">
        <v>0</v>
      </c>
      <c r="L114" s="1103">
        <v>0</v>
      </c>
      <c r="M114" s="909"/>
      <c r="N114" s="909"/>
      <c r="O114" s="909"/>
      <c r="P114" s="909"/>
      <c r="Q114" s="909"/>
      <c r="R114" s="910"/>
      <c r="S114" s="515"/>
      <c r="T114" s="515"/>
      <c r="U114" s="515"/>
      <c r="V114" s="515"/>
      <c r="W114" s="515"/>
    </row>
    <row r="115" spans="1:23" s="940" customFormat="1" ht="20.149999999999999" customHeight="1">
      <c r="A115" s="908" t="s">
        <v>166</v>
      </c>
      <c r="B115" s="711" t="s">
        <v>858</v>
      </c>
      <c r="C115" s="903">
        <v>5</v>
      </c>
      <c r="D115" s="904">
        <v>1.3</v>
      </c>
      <c r="E115" s="903">
        <v>1</v>
      </c>
      <c r="F115" s="903">
        <v>1</v>
      </c>
      <c r="G115" s="903">
        <v>10</v>
      </c>
      <c r="H115" s="1101">
        <v>65</v>
      </c>
      <c r="I115" s="1101">
        <v>79.5</v>
      </c>
      <c r="J115" s="1102">
        <v>79.5</v>
      </c>
      <c r="K115" s="1103">
        <v>0</v>
      </c>
      <c r="L115" s="1102">
        <v>0</v>
      </c>
      <c r="M115" s="919"/>
      <c r="N115" s="919"/>
      <c r="O115" s="919"/>
      <c r="P115" s="919"/>
      <c r="Q115" s="919"/>
      <c r="R115" s="939"/>
      <c r="S115" s="530"/>
      <c r="T115" s="530"/>
      <c r="U115" s="530"/>
      <c r="V115" s="530"/>
      <c r="W115" s="530"/>
    </row>
    <row r="116" spans="1:23" ht="20.149999999999999" customHeight="1">
      <c r="A116" s="901" t="s">
        <v>168</v>
      </c>
      <c r="B116" s="918" t="s">
        <v>859</v>
      </c>
      <c r="C116" s="903">
        <v>3</v>
      </c>
      <c r="D116" s="904">
        <v>1</v>
      </c>
      <c r="E116" s="903">
        <v>1</v>
      </c>
      <c r="F116" s="903">
        <v>1</v>
      </c>
      <c r="G116" s="903">
        <v>10</v>
      </c>
      <c r="H116" s="1101">
        <v>30</v>
      </c>
      <c r="I116" s="1101">
        <v>49.5</v>
      </c>
      <c r="J116" s="1101">
        <v>49.5</v>
      </c>
      <c r="K116" s="1103">
        <v>0</v>
      </c>
      <c r="L116" s="1103">
        <v>0</v>
      </c>
      <c r="M116" s="909"/>
      <c r="N116" s="909"/>
      <c r="O116" s="909"/>
      <c r="P116" s="909"/>
      <c r="Q116" s="909"/>
      <c r="R116" s="910"/>
      <c r="S116" s="515"/>
      <c r="T116" s="515"/>
      <c r="U116" s="515"/>
      <c r="V116" s="515"/>
      <c r="W116" s="515"/>
    </row>
    <row r="117" spans="1:23" ht="20.149999999999999" customHeight="1">
      <c r="A117" s="908" t="s">
        <v>978</v>
      </c>
      <c r="B117" s="941" t="s">
        <v>867</v>
      </c>
      <c r="C117" s="903">
        <v>4</v>
      </c>
      <c r="D117" s="904">
        <v>1</v>
      </c>
      <c r="E117" s="903">
        <v>1</v>
      </c>
      <c r="F117" s="903">
        <v>1</v>
      </c>
      <c r="G117" s="903">
        <v>10</v>
      </c>
      <c r="H117" s="1101">
        <v>40</v>
      </c>
      <c r="I117" s="1101">
        <v>66</v>
      </c>
      <c r="J117" s="1101">
        <v>66</v>
      </c>
      <c r="K117" s="1103">
        <v>0</v>
      </c>
      <c r="L117" s="1103">
        <v>0</v>
      </c>
      <c r="M117" s="909"/>
      <c r="N117" s="909"/>
      <c r="O117" s="909"/>
      <c r="P117" s="909"/>
      <c r="Q117" s="909"/>
      <c r="R117" s="910"/>
      <c r="S117" s="515"/>
      <c r="T117" s="515"/>
      <c r="U117" s="515"/>
      <c r="V117" s="515"/>
      <c r="W117" s="515"/>
    </row>
    <row r="118" spans="1:23" ht="20.149999999999999" customHeight="1">
      <c r="A118" s="901" t="s">
        <v>980</v>
      </c>
      <c r="B118" s="918" t="s">
        <v>868</v>
      </c>
      <c r="C118" s="903">
        <v>5</v>
      </c>
      <c r="D118" s="904">
        <v>1</v>
      </c>
      <c r="E118" s="903">
        <v>1</v>
      </c>
      <c r="F118" s="903">
        <v>1</v>
      </c>
      <c r="G118" s="903">
        <v>10</v>
      </c>
      <c r="H118" s="1101">
        <v>50</v>
      </c>
      <c r="I118" s="1101">
        <v>82.5</v>
      </c>
      <c r="J118" s="1101">
        <v>82.5</v>
      </c>
      <c r="K118" s="1103">
        <v>0</v>
      </c>
      <c r="L118" s="1103">
        <v>0</v>
      </c>
      <c r="M118" s="909"/>
      <c r="N118" s="909"/>
      <c r="O118" s="909"/>
      <c r="P118" s="909"/>
      <c r="Q118" s="909"/>
      <c r="R118" s="910"/>
      <c r="S118" s="515"/>
      <c r="T118" s="515"/>
      <c r="U118" s="515"/>
      <c r="V118" s="515"/>
      <c r="W118" s="515"/>
    </row>
    <row r="119" spans="1:23" ht="20.149999999999999" customHeight="1">
      <c r="A119" s="908" t="s">
        <v>981</v>
      </c>
      <c r="B119" s="918" t="s">
        <v>869</v>
      </c>
      <c r="C119" s="903">
        <v>4</v>
      </c>
      <c r="D119" s="904">
        <v>1.3</v>
      </c>
      <c r="E119" s="903">
        <v>1</v>
      </c>
      <c r="F119" s="903">
        <v>1</v>
      </c>
      <c r="G119" s="903">
        <v>10</v>
      </c>
      <c r="H119" s="1101">
        <v>52</v>
      </c>
      <c r="I119" s="1101">
        <v>64.5</v>
      </c>
      <c r="J119" s="1101">
        <v>64.5</v>
      </c>
      <c r="K119" s="1103">
        <v>0</v>
      </c>
      <c r="L119" s="1103">
        <v>0</v>
      </c>
      <c r="M119" s="909"/>
      <c r="N119" s="909"/>
      <c r="O119" s="909"/>
      <c r="P119" s="909"/>
      <c r="Q119" s="909"/>
      <c r="R119" s="910"/>
      <c r="S119" s="515"/>
      <c r="T119" s="515"/>
      <c r="U119" s="515"/>
      <c r="V119" s="515"/>
      <c r="W119" s="515"/>
    </row>
    <row r="120" spans="1:23" ht="20.149999999999999" customHeight="1">
      <c r="A120" s="901" t="s">
        <v>983</v>
      </c>
      <c r="B120" s="918" t="s">
        <v>870</v>
      </c>
      <c r="C120" s="903">
        <v>4</v>
      </c>
      <c r="D120" s="904">
        <v>1.3</v>
      </c>
      <c r="E120" s="903">
        <v>1</v>
      </c>
      <c r="F120" s="903">
        <v>1</v>
      </c>
      <c r="G120" s="903">
        <v>10</v>
      </c>
      <c r="H120" s="1101">
        <v>52</v>
      </c>
      <c r="I120" s="1101">
        <v>64.5</v>
      </c>
      <c r="J120" s="1101">
        <v>64.5</v>
      </c>
      <c r="K120" s="1103">
        <v>0</v>
      </c>
      <c r="L120" s="1103">
        <v>0</v>
      </c>
      <c r="M120" s="909"/>
      <c r="N120" s="909"/>
      <c r="O120" s="909"/>
      <c r="P120" s="909"/>
      <c r="Q120" s="909"/>
      <c r="R120" s="910"/>
      <c r="S120" s="515"/>
      <c r="T120" s="515"/>
      <c r="U120" s="515"/>
      <c r="V120" s="515"/>
      <c r="W120" s="515"/>
    </row>
    <row r="121" spans="1:23" ht="20.149999999999999" customHeight="1">
      <c r="A121" s="908" t="s">
        <v>985</v>
      </c>
      <c r="B121" s="918" t="s">
        <v>857</v>
      </c>
      <c r="C121" s="903">
        <v>3</v>
      </c>
      <c r="D121" s="904">
        <v>1</v>
      </c>
      <c r="E121" s="903">
        <v>1</v>
      </c>
      <c r="F121" s="903">
        <v>1</v>
      </c>
      <c r="G121" s="903">
        <v>10</v>
      </c>
      <c r="H121" s="1101">
        <v>30</v>
      </c>
      <c r="I121" s="1101">
        <v>49.5</v>
      </c>
      <c r="J121" s="1101">
        <v>49.5</v>
      </c>
      <c r="K121" s="1103">
        <v>0</v>
      </c>
      <c r="L121" s="1103">
        <v>0</v>
      </c>
      <c r="M121" s="909"/>
      <c r="N121" s="909"/>
      <c r="O121" s="909"/>
      <c r="P121" s="909"/>
      <c r="Q121" s="909"/>
      <c r="R121" s="910"/>
      <c r="S121" s="515"/>
      <c r="T121" s="515"/>
      <c r="U121" s="515"/>
      <c r="V121" s="515"/>
      <c r="W121" s="515"/>
    </row>
    <row r="122" spans="1:23" ht="20.149999999999999" customHeight="1">
      <c r="A122" s="901" t="s">
        <v>987</v>
      </c>
      <c r="B122" s="918" t="s">
        <v>871</v>
      </c>
      <c r="C122" s="903">
        <v>4</v>
      </c>
      <c r="D122" s="904">
        <v>1.3</v>
      </c>
      <c r="E122" s="903">
        <v>1</v>
      </c>
      <c r="F122" s="903">
        <v>1</v>
      </c>
      <c r="G122" s="903">
        <v>18</v>
      </c>
      <c r="H122" s="1101">
        <v>93.600000000000009</v>
      </c>
      <c r="I122" s="1101">
        <v>64.5</v>
      </c>
      <c r="J122" s="1103">
        <v>0</v>
      </c>
      <c r="K122" s="1103">
        <v>0</v>
      </c>
      <c r="L122" s="1103">
        <v>64.5</v>
      </c>
      <c r="M122" s="909"/>
      <c r="N122" s="909"/>
      <c r="O122" s="909"/>
      <c r="P122" s="909"/>
      <c r="Q122" s="909"/>
      <c r="R122" s="910"/>
      <c r="S122" s="515"/>
      <c r="T122" s="515"/>
      <c r="U122" s="515"/>
      <c r="V122" s="515"/>
      <c r="W122" s="515"/>
    </row>
    <row r="123" spans="1:23" ht="20.149999999999999" customHeight="1">
      <c r="A123" s="908" t="s">
        <v>971</v>
      </c>
      <c r="B123" s="918" t="s">
        <v>872</v>
      </c>
      <c r="C123" s="903">
        <v>3</v>
      </c>
      <c r="D123" s="904">
        <v>1.3</v>
      </c>
      <c r="E123" s="903">
        <v>1</v>
      </c>
      <c r="F123" s="903">
        <v>1</v>
      </c>
      <c r="G123" s="903">
        <v>18</v>
      </c>
      <c r="H123" s="1101">
        <v>70.2</v>
      </c>
      <c r="I123" s="1101">
        <v>48</v>
      </c>
      <c r="J123" s="1101">
        <v>48</v>
      </c>
      <c r="K123" s="1103">
        <v>0</v>
      </c>
      <c r="L123" s="1103">
        <v>0</v>
      </c>
      <c r="M123" s="909"/>
      <c r="N123" s="909"/>
      <c r="O123" s="909"/>
      <c r="P123" s="909"/>
      <c r="Q123" s="909"/>
      <c r="R123" s="910"/>
      <c r="S123" s="515"/>
      <c r="T123" s="515"/>
      <c r="U123" s="515"/>
      <c r="V123" s="515"/>
      <c r="W123" s="515"/>
    </row>
    <row r="124" spans="1:23" ht="20.149999999999999" customHeight="1">
      <c r="A124" s="901" t="s">
        <v>1382</v>
      </c>
      <c r="B124" s="918" t="s">
        <v>873</v>
      </c>
      <c r="C124" s="903">
        <v>3</v>
      </c>
      <c r="D124" s="904">
        <v>1.3</v>
      </c>
      <c r="E124" s="903">
        <v>1</v>
      </c>
      <c r="F124" s="903">
        <v>1</v>
      </c>
      <c r="G124" s="903">
        <v>18</v>
      </c>
      <c r="H124" s="1101">
        <v>70.2</v>
      </c>
      <c r="I124" s="1101">
        <v>48</v>
      </c>
      <c r="J124" s="1101">
        <v>48</v>
      </c>
      <c r="K124" s="1103">
        <v>0</v>
      </c>
      <c r="L124" s="1103">
        <v>0</v>
      </c>
      <c r="M124" s="909"/>
      <c r="N124" s="909"/>
      <c r="O124" s="909"/>
      <c r="P124" s="909"/>
      <c r="Q124" s="909"/>
      <c r="R124" s="910"/>
      <c r="S124" s="515"/>
      <c r="T124" s="515"/>
      <c r="U124" s="515"/>
      <c r="V124" s="515"/>
      <c r="W124" s="515"/>
    </row>
    <row r="125" spans="1:23" ht="20.149999999999999" customHeight="1" thickBot="1">
      <c r="A125" s="942" t="s">
        <v>1383</v>
      </c>
      <c r="B125" s="943" t="s">
        <v>874</v>
      </c>
      <c r="C125" s="944">
        <v>4</v>
      </c>
      <c r="D125" s="945">
        <v>1.3</v>
      </c>
      <c r="E125" s="946">
        <v>1</v>
      </c>
      <c r="F125" s="946">
        <v>1</v>
      </c>
      <c r="G125" s="946">
        <v>18</v>
      </c>
      <c r="H125" s="1110">
        <v>93.600000000000009</v>
      </c>
      <c r="I125" s="1110">
        <v>64.5</v>
      </c>
      <c r="J125" s="1110">
        <v>64.5</v>
      </c>
      <c r="K125" s="1111">
        <v>0</v>
      </c>
      <c r="L125" s="1111">
        <v>0</v>
      </c>
      <c r="M125" s="948"/>
      <c r="N125" s="948"/>
      <c r="O125" s="948"/>
      <c r="P125" s="948"/>
      <c r="Q125" s="948"/>
      <c r="R125" s="949"/>
      <c r="S125" s="515"/>
      <c r="T125" s="515"/>
      <c r="U125" s="515"/>
      <c r="V125" s="515"/>
      <c r="W125" s="515"/>
    </row>
    <row r="126" spans="1:23" ht="15" customHeight="1">
      <c r="A126" s="519"/>
      <c r="B126" s="519"/>
      <c r="C126" s="520"/>
      <c r="D126" s="865"/>
      <c r="E126" s="520"/>
      <c r="F126" s="520"/>
      <c r="G126" s="520"/>
      <c r="H126" s="865"/>
      <c r="I126" s="865"/>
      <c r="J126" s="865"/>
      <c r="K126" s="865"/>
      <c r="L126" s="865"/>
      <c r="M126" s="1358" t="s">
        <v>42</v>
      </c>
      <c r="N126" s="1358"/>
      <c r="O126" s="1358"/>
      <c r="P126" s="1358"/>
      <c r="Q126" s="1358"/>
      <c r="R126" s="1358"/>
      <c r="S126" s="501"/>
      <c r="T126" s="501"/>
      <c r="U126" s="501"/>
      <c r="V126" s="501"/>
      <c r="W126" s="501"/>
    </row>
    <row r="127" spans="1:23">
      <c r="A127" s="519"/>
      <c r="B127" s="519"/>
      <c r="C127" s="520"/>
      <c r="D127" s="865"/>
      <c r="E127" s="520"/>
      <c r="F127" s="520"/>
      <c r="G127" s="520"/>
      <c r="H127" s="865"/>
      <c r="I127" s="865"/>
      <c r="J127" s="865"/>
      <c r="K127" s="865"/>
      <c r="L127" s="865"/>
      <c r="M127" s="520"/>
      <c r="N127" s="1359" t="s">
        <v>1429</v>
      </c>
      <c r="O127" s="1359"/>
      <c r="P127" s="1359"/>
      <c r="Q127" s="1359"/>
      <c r="R127" s="501"/>
      <c r="S127" s="501"/>
      <c r="T127" s="501"/>
      <c r="U127" s="501"/>
      <c r="V127" s="501"/>
      <c r="W127" s="501"/>
    </row>
    <row r="128" spans="1:23">
      <c r="A128" s="519"/>
      <c r="B128" s="519"/>
      <c r="C128" s="520"/>
      <c r="D128" s="865"/>
      <c r="E128" s="520"/>
      <c r="F128" s="520"/>
      <c r="G128" s="520"/>
      <c r="H128" s="865"/>
      <c r="I128" s="865"/>
      <c r="J128" s="865"/>
      <c r="K128" s="865"/>
      <c r="L128" s="865"/>
      <c r="M128" s="520"/>
      <c r="N128" s="520"/>
      <c r="O128" s="520"/>
      <c r="P128" s="520"/>
      <c r="Q128" s="1219"/>
      <c r="R128" s="533"/>
      <c r="S128" s="501"/>
      <c r="T128" s="501"/>
      <c r="U128" s="501"/>
      <c r="V128" s="501"/>
      <c r="W128" s="501"/>
    </row>
    <row r="129" spans="1:23">
      <c r="A129" s="519"/>
      <c r="B129" s="519"/>
      <c r="C129" s="520"/>
      <c r="D129" s="865"/>
      <c r="E129" s="520"/>
      <c r="F129" s="520"/>
      <c r="G129" s="520"/>
      <c r="H129" s="865"/>
      <c r="I129" s="865"/>
      <c r="J129" s="865"/>
      <c r="K129" s="865"/>
      <c r="L129" s="865"/>
      <c r="M129" s="520"/>
      <c r="N129" s="520"/>
      <c r="O129" s="520"/>
      <c r="P129" s="520"/>
      <c r="Q129" s="1219"/>
      <c r="R129" s="501"/>
      <c r="S129" s="501"/>
      <c r="T129" s="501"/>
      <c r="U129" s="501"/>
      <c r="V129" s="501"/>
      <c r="W129" s="501"/>
    </row>
    <row r="130" spans="1:23">
      <c r="A130" s="519"/>
      <c r="B130" s="519"/>
      <c r="C130" s="520"/>
      <c r="D130" s="865"/>
      <c r="E130" s="520"/>
      <c r="F130" s="520"/>
      <c r="G130" s="520"/>
      <c r="H130" s="865"/>
      <c r="I130" s="865"/>
      <c r="J130" s="865"/>
      <c r="K130" s="865"/>
      <c r="L130" s="865"/>
      <c r="M130" s="520"/>
      <c r="N130" s="1338" t="s">
        <v>1432</v>
      </c>
      <c r="O130" s="1338"/>
      <c r="P130" s="1338"/>
      <c r="Q130" s="1338"/>
      <c r="R130" s="501"/>
      <c r="S130" s="501"/>
      <c r="T130" s="501"/>
      <c r="U130" s="501"/>
      <c r="V130" s="501"/>
      <c r="W130" s="501"/>
    </row>
  </sheetData>
  <mergeCells count="29">
    <mergeCell ref="A4:R4"/>
    <mergeCell ref="A1:C1"/>
    <mergeCell ref="J1:O1"/>
    <mergeCell ref="A2:C2"/>
    <mergeCell ref="J2:O2"/>
    <mergeCell ref="A3:R3"/>
    <mergeCell ref="Q1:R1"/>
    <mergeCell ref="A5:R5"/>
    <mergeCell ref="A7:A8"/>
    <mergeCell ref="B7:B8"/>
    <mergeCell ref="C7:C8"/>
    <mergeCell ref="D7:D8"/>
    <mergeCell ref="E7:E8"/>
    <mergeCell ref="F7:F8"/>
    <mergeCell ref="G7:G8"/>
    <mergeCell ref="H7:H8"/>
    <mergeCell ref="I7:I8"/>
    <mergeCell ref="R7:R8"/>
    <mergeCell ref="J7:L7"/>
    <mergeCell ref="M7:M8"/>
    <mergeCell ref="N7:N8"/>
    <mergeCell ref="O7:O8"/>
    <mergeCell ref="P7:P8"/>
    <mergeCell ref="N127:Q127"/>
    <mergeCell ref="N130:Q130"/>
    <mergeCell ref="S7:S8"/>
    <mergeCell ref="O95:R95"/>
    <mergeCell ref="Q7:Q8"/>
    <mergeCell ref="M126:R126"/>
  </mergeCells>
  <phoneticPr fontId="60" type="noConversion"/>
  <pageMargins left="0" right="0" top="0" bottom="0" header="0" footer="0"/>
  <pageSetup paperSize="9" scale="90"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M81"/>
  <sheetViews>
    <sheetView workbookViewId="0">
      <selection activeCell="B7" sqref="B7:B8"/>
    </sheetView>
  </sheetViews>
  <sheetFormatPr defaultColWidth="9" defaultRowHeight="14"/>
  <cols>
    <col min="1" max="1" width="4.4140625" style="287" customWidth="1"/>
    <col min="2" max="2" width="24.4140625" style="287" customWidth="1"/>
    <col min="3" max="3" width="12" style="287" customWidth="1"/>
    <col min="4" max="4" width="15.9140625" style="287" customWidth="1"/>
    <col min="5" max="5" width="26.4140625" style="287" customWidth="1"/>
    <col min="6" max="6" width="8.4140625" style="370" customWidth="1"/>
    <col min="7" max="7" width="8.9140625" style="371" customWidth="1"/>
    <col min="8" max="8" width="6.4140625" style="371" customWidth="1"/>
    <col min="9" max="9" width="18" style="371" customWidth="1"/>
    <col min="10" max="10" width="18.08203125" style="371" customWidth="1"/>
    <col min="11" max="11" width="8.4140625" style="236" customWidth="1"/>
    <col min="12" max="12" width="9.4140625" style="236" customWidth="1"/>
    <col min="13" max="13" width="17.4140625" style="306" customWidth="1"/>
    <col min="14" max="16384" width="9" style="306"/>
  </cols>
  <sheetData>
    <row r="1" spans="1:13" ht="14.25" customHeight="1">
      <c r="A1" s="1383" t="s">
        <v>0</v>
      </c>
      <c r="B1" s="1383"/>
      <c r="C1" s="1383"/>
      <c r="D1" s="1383"/>
      <c r="E1" s="1383"/>
      <c r="F1" s="284"/>
      <c r="G1" s="304"/>
      <c r="H1" s="304"/>
      <c r="I1" s="304"/>
      <c r="J1" s="304"/>
      <c r="K1" s="71"/>
      <c r="L1" s="71"/>
      <c r="M1" s="305" t="s">
        <v>186</v>
      </c>
    </row>
    <row r="2" spans="1:13">
      <c r="A2" s="1383" t="s">
        <v>187</v>
      </c>
      <c r="B2" s="1383"/>
      <c r="C2" s="1383"/>
      <c r="D2" s="1383"/>
      <c r="E2" s="1383"/>
      <c r="F2" s="284"/>
      <c r="G2" s="304"/>
      <c r="H2" s="304"/>
      <c r="I2" s="304"/>
      <c r="J2" s="304"/>
      <c r="K2" s="71"/>
      <c r="L2" s="71"/>
      <c r="M2" s="304"/>
    </row>
    <row r="3" spans="1:13" ht="57.75" customHeight="1">
      <c r="A3" s="1384" t="s">
        <v>636</v>
      </c>
      <c r="B3" s="1384"/>
      <c r="C3" s="1384"/>
      <c r="D3" s="1384"/>
      <c r="E3" s="1384"/>
      <c r="F3" s="1384"/>
      <c r="G3" s="1384"/>
      <c r="H3" s="1384"/>
      <c r="I3" s="1384"/>
      <c r="J3" s="1384"/>
      <c r="K3" s="1384"/>
      <c r="L3" s="1384"/>
      <c r="M3" s="1384"/>
    </row>
    <row r="4" spans="1:13" ht="45" customHeight="1">
      <c r="A4" s="1392" t="s">
        <v>637</v>
      </c>
      <c r="B4" s="1392"/>
      <c r="C4" s="1392"/>
      <c r="D4" s="1392"/>
      <c r="E4" s="1392"/>
      <c r="F4" s="1392"/>
      <c r="G4" s="1392"/>
      <c r="H4" s="1392"/>
      <c r="I4" s="1392"/>
      <c r="J4" s="1392"/>
      <c r="K4" s="1392"/>
      <c r="L4" s="1392"/>
      <c r="M4" s="1392"/>
    </row>
    <row r="5" spans="1:13" ht="19.5" customHeight="1">
      <c r="A5" s="1385"/>
      <c r="B5" s="1385"/>
      <c r="C5" s="1385"/>
      <c r="D5" s="1385"/>
      <c r="E5" s="1385"/>
      <c r="F5" s="1385"/>
      <c r="G5" s="1385"/>
      <c r="H5" s="1385"/>
      <c r="I5" s="1385"/>
      <c r="J5" s="1385"/>
      <c r="K5" s="1385"/>
      <c r="L5" s="1385"/>
      <c r="M5" s="1385"/>
    </row>
    <row r="6" spans="1:13" ht="14.5" thickBot="1">
      <c r="A6" s="307"/>
      <c r="B6" s="307"/>
      <c r="C6" s="307"/>
      <c r="D6" s="307"/>
      <c r="E6" s="307"/>
      <c r="F6" s="308"/>
      <c r="G6" s="307"/>
      <c r="H6" s="307"/>
      <c r="I6" s="307"/>
      <c r="J6" s="307"/>
      <c r="K6" s="309"/>
      <c r="L6" s="309"/>
      <c r="M6" s="310"/>
    </row>
    <row r="7" spans="1:13" ht="51.75" customHeight="1" thickTop="1">
      <c r="A7" s="1386" t="s">
        <v>5</v>
      </c>
      <c r="B7" s="1381" t="s">
        <v>188</v>
      </c>
      <c r="C7" s="1388" t="s">
        <v>189</v>
      </c>
      <c r="D7" s="1388" t="s">
        <v>190</v>
      </c>
      <c r="E7" s="1388" t="s">
        <v>191</v>
      </c>
      <c r="F7" s="1381" t="s">
        <v>129</v>
      </c>
      <c r="G7" s="1379" t="s">
        <v>131</v>
      </c>
      <c r="H7" s="1381" t="s">
        <v>192</v>
      </c>
      <c r="I7" s="1381" t="s">
        <v>132</v>
      </c>
      <c r="J7" s="1381" t="s">
        <v>133</v>
      </c>
      <c r="K7" s="1381" t="s">
        <v>134</v>
      </c>
      <c r="L7" s="1381" t="s">
        <v>135</v>
      </c>
      <c r="M7" s="1390" t="s">
        <v>16</v>
      </c>
    </row>
    <row r="8" spans="1:13" ht="75.75" customHeight="1">
      <c r="A8" s="1387"/>
      <c r="B8" s="1382"/>
      <c r="C8" s="1389"/>
      <c r="D8" s="1389"/>
      <c r="E8" s="1389"/>
      <c r="F8" s="1382"/>
      <c r="G8" s="1380"/>
      <c r="H8" s="1382"/>
      <c r="I8" s="1382"/>
      <c r="J8" s="1382"/>
      <c r="K8" s="1382"/>
      <c r="L8" s="1382"/>
      <c r="M8" s="1391"/>
    </row>
    <row r="9" spans="1:13" s="315" customFormat="1" ht="30" customHeight="1">
      <c r="A9" s="311" t="s">
        <v>139</v>
      </c>
      <c r="B9" s="312" t="s">
        <v>140</v>
      </c>
      <c r="C9" s="312" t="s">
        <v>141</v>
      </c>
      <c r="D9" s="312" t="s">
        <v>142</v>
      </c>
      <c r="E9" s="312" t="s">
        <v>143</v>
      </c>
      <c r="F9" s="313" t="s">
        <v>193</v>
      </c>
      <c r="G9" s="313" t="s">
        <v>144</v>
      </c>
      <c r="H9" s="313" t="s">
        <v>194</v>
      </c>
      <c r="I9" s="313" t="s">
        <v>195</v>
      </c>
      <c r="J9" s="313" t="s">
        <v>196</v>
      </c>
      <c r="K9" s="313" t="s">
        <v>146</v>
      </c>
      <c r="L9" s="313" t="s">
        <v>147</v>
      </c>
      <c r="M9" s="314" t="s">
        <v>148</v>
      </c>
    </row>
    <row r="10" spans="1:13" s="322" customFormat="1" ht="24" customHeight="1">
      <c r="A10" s="316" t="s">
        <v>19</v>
      </c>
      <c r="B10" s="317" t="s">
        <v>197</v>
      </c>
      <c r="C10" s="318" t="s">
        <v>198</v>
      </c>
      <c r="D10" s="319"/>
      <c r="E10" s="317"/>
      <c r="F10" s="320">
        <f>+F11+F15</f>
        <v>0</v>
      </c>
      <c r="G10" s="320">
        <f t="shared" ref="G10:L10" si="0">+G11+G15</f>
        <v>0</v>
      </c>
      <c r="H10" s="320">
        <f t="shared" si="0"/>
        <v>0</v>
      </c>
      <c r="I10" s="320">
        <f t="shared" si="0"/>
        <v>0</v>
      </c>
      <c r="J10" s="320">
        <f t="shared" si="0"/>
        <v>0</v>
      </c>
      <c r="K10" s="320">
        <f t="shared" si="0"/>
        <v>0</v>
      </c>
      <c r="L10" s="320">
        <f t="shared" si="0"/>
        <v>0</v>
      </c>
      <c r="M10" s="321"/>
    </row>
    <row r="11" spans="1:13" s="322" customFormat="1" ht="19.5" customHeight="1">
      <c r="A11" s="323" t="s">
        <v>17</v>
      </c>
      <c r="B11" s="324" t="s">
        <v>199</v>
      </c>
      <c r="C11" s="324"/>
      <c r="D11" s="325"/>
      <c r="E11" s="324"/>
      <c r="F11" s="326">
        <f>SUM(F12:F14)</f>
        <v>0</v>
      </c>
      <c r="G11" s="326">
        <f t="shared" ref="G11:L11" si="1">SUM(G12:G14)</f>
        <v>0</v>
      </c>
      <c r="H11" s="326">
        <f t="shared" si="1"/>
        <v>0</v>
      </c>
      <c r="I11" s="326">
        <f t="shared" si="1"/>
        <v>0</v>
      </c>
      <c r="J11" s="326">
        <f t="shared" si="1"/>
        <v>0</v>
      </c>
      <c r="K11" s="326">
        <f t="shared" si="1"/>
        <v>0</v>
      </c>
      <c r="L11" s="326">
        <f t="shared" si="1"/>
        <v>0</v>
      </c>
      <c r="M11" s="327"/>
    </row>
    <row r="12" spans="1:13" s="322" customFormat="1">
      <c r="A12" s="328">
        <v>1</v>
      </c>
      <c r="B12" s="329" t="s">
        <v>200</v>
      </c>
      <c r="C12" s="329"/>
      <c r="D12" s="330"/>
      <c r="E12" s="329"/>
      <c r="F12" s="331">
        <v>0</v>
      </c>
      <c r="G12" s="331">
        <v>0</v>
      </c>
      <c r="H12" s="331">
        <v>0</v>
      </c>
      <c r="I12" s="331">
        <f>G12-H12</f>
        <v>0</v>
      </c>
      <c r="J12" s="331">
        <f>F12-I12</f>
        <v>0</v>
      </c>
      <c r="K12" s="331">
        <v>0</v>
      </c>
      <c r="L12" s="331">
        <v>0</v>
      </c>
      <c r="M12" s="332"/>
    </row>
    <row r="13" spans="1:13" s="322" customFormat="1">
      <c r="A13" s="328">
        <v>2</v>
      </c>
      <c r="B13" s="329" t="s">
        <v>201</v>
      </c>
      <c r="C13" s="329"/>
      <c r="D13" s="330"/>
      <c r="E13" s="333"/>
      <c r="F13" s="331"/>
      <c r="G13" s="331"/>
      <c r="H13" s="331"/>
      <c r="I13" s="331"/>
      <c r="J13" s="331"/>
      <c r="K13" s="331"/>
      <c r="L13" s="331"/>
      <c r="M13" s="332"/>
    </row>
    <row r="14" spans="1:13" s="322" customFormat="1">
      <c r="A14" s="328">
        <v>3</v>
      </c>
      <c r="B14" s="329" t="s">
        <v>201</v>
      </c>
      <c r="C14" s="329"/>
      <c r="D14" s="330"/>
      <c r="E14" s="333"/>
      <c r="F14" s="331"/>
      <c r="G14" s="331"/>
      <c r="H14" s="331"/>
      <c r="I14" s="331"/>
      <c r="J14" s="331"/>
      <c r="K14" s="331"/>
      <c r="L14" s="331"/>
      <c r="M14" s="332"/>
    </row>
    <row r="15" spans="1:13" s="322" customFormat="1">
      <c r="A15" s="334" t="s">
        <v>178</v>
      </c>
      <c r="B15" s="335" t="s">
        <v>202</v>
      </c>
      <c r="C15" s="336"/>
      <c r="D15" s="336"/>
      <c r="E15" s="337"/>
      <c r="F15" s="338">
        <f>SUM(F16:F18)</f>
        <v>0</v>
      </c>
      <c r="G15" s="338">
        <f t="shared" ref="G15:L15" si="2">SUM(G16:G18)</f>
        <v>0</v>
      </c>
      <c r="H15" s="338">
        <f t="shared" si="2"/>
        <v>0</v>
      </c>
      <c r="I15" s="338">
        <f t="shared" si="2"/>
        <v>0</v>
      </c>
      <c r="J15" s="338">
        <f t="shared" si="2"/>
        <v>0</v>
      </c>
      <c r="K15" s="338">
        <f t="shared" si="2"/>
        <v>0</v>
      </c>
      <c r="L15" s="338">
        <f t="shared" si="2"/>
        <v>0</v>
      </c>
      <c r="M15" s="339"/>
    </row>
    <row r="16" spans="1:13" s="322" customFormat="1">
      <c r="A16" s="328">
        <v>1</v>
      </c>
      <c r="B16" s="329" t="s">
        <v>200</v>
      </c>
      <c r="C16" s="336"/>
      <c r="D16" s="340"/>
      <c r="E16" s="341"/>
      <c r="F16" s="331">
        <v>0</v>
      </c>
      <c r="G16" s="331">
        <v>0</v>
      </c>
      <c r="H16" s="331">
        <v>0</v>
      </c>
      <c r="I16" s="331">
        <f>G16-H16</f>
        <v>0</v>
      </c>
      <c r="J16" s="331">
        <f>F16-I16</f>
        <v>0</v>
      </c>
      <c r="K16" s="331">
        <v>0</v>
      </c>
      <c r="L16" s="331">
        <v>0</v>
      </c>
      <c r="M16" s="339"/>
    </row>
    <row r="17" spans="1:13" s="322" customFormat="1">
      <c r="A17" s="328">
        <v>2</v>
      </c>
      <c r="B17" s="329" t="s">
        <v>201</v>
      </c>
      <c r="C17" s="329"/>
      <c r="D17" s="330"/>
      <c r="E17" s="333"/>
      <c r="F17" s="331"/>
      <c r="G17" s="331"/>
      <c r="H17" s="331"/>
      <c r="I17" s="331"/>
      <c r="J17" s="331"/>
      <c r="K17" s="331"/>
      <c r="L17" s="331"/>
      <c r="M17" s="332"/>
    </row>
    <row r="18" spans="1:13" s="322" customFormat="1">
      <c r="A18" s="328">
        <v>3</v>
      </c>
      <c r="B18" s="329" t="s">
        <v>201</v>
      </c>
      <c r="C18" s="329"/>
      <c r="D18" s="330"/>
      <c r="E18" s="333"/>
      <c r="F18" s="331"/>
      <c r="G18" s="331"/>
      <c r="H18" s="331"/>
      <c r="I18" s="331"/>
      <c r="J18" s="331"/>
      <c r="K18" s="331"/>
      <c r="L18" s="331"/>
      <c r="M18" s="332"/>
    </row>
    <row r="19" spans="1:13" s="322" customFormat="1" ht="22.5" customHeight="1">
      <c r="A19" s="328"/>
      <c r="B19" s="342" t="s">
        <v>203</v>
      </c>
      <c r="C19" s="336"/>
      <c r="D19" s="336"/>
      <c r="E19" s="337"/>
      <c r="F19" s="338"/>
      <c r="G19" s="331"/>
      <c r="H19" s="331"/>
      <c r="I19" s="331"/>
      <c r="J19" s="331"/>
      <c r="K19" s="331"/>
      <c r="L19" s="331"/>
      <c r="M19" s="339"/>
    </row>
    <row r="20" spans="1:13" s="322" customFormat="1" ht="20.25" customHeight="1">
      <c r="A20" s="328"/>
      <c r="B20" s="343" t="s">
        <v>204</v>
      </c>
      <c r="C20" s="336"/>
      <c r="D20" s="336"/>
      <c r="E20" s="337"/>
      <c r="F20" s="331"/>
      <c r="G20" s="331"/>
      <c r="H20" s="331"/>
      <c r="I20" s="331"/>
      <c r="J20" s="331"/>
      <c r="K20" s="331"/>
      <c r="L20" s="331"/>
      <c r="M20" s="339"/>
    </row>
    <row r="21" spans="1:13" s="322" customFormat="1" ht="28">
      <c r="A21" s="328"/>
      <c r="B21" s="343" t="s">
        <v>205</v>
      </c>
      <c r="C21" s="336"/>
      <c r="D21" s="336"/>
      <c r="E21" s="337"/>
      <c r="F21" s="331"/>
      <c r="G21" s="331"/>
      <c r="H21" s="331"/>
      <c r="I21" s="331"/>
      <c r="J21" s="331"/>
      <c r="K21" s="331"/>
      <c r="L21" s="331"/>
      <c r="M21" s="339"/>
    </row>
    <row r="22" spans="1:13" s="322" customFormat="1">
      <c r="A22" s="328"/>
      <c r="B22" s="343" t="s">
        <v>206</v>
      </c>
      <c r="C22" s="336"/>
      <c r="D22" s="336"/>
      <c r="E22" s="337"/>
      <c r="F22" s="331"/>
      <c r="G22" s="331"/>
      <c r="H22" s="331"/>
      <c r="I22" s="331"/>
      <c r="J22" s="331"/>
      <c r="K22" s="331"/>
      <c r="L22" s="331"/>
      <c r="M22" s="339"/>
    </row>
    <row r="23" spans="1:13" s="322" customFormat="1">
      <c r="A23" s="328"/>
      <c r="B23" s="343" t="s">
        <v>207</v>
      </c>
      <c r="C23" s="336"/>
      <c r="D23" s="336"/>
      <c r="E23" s="337"/>
      <c r="F23" s="338"/>
      <c r="G23" s="338"/>
      <c r="H23" s="338"/>
      <c r="I23" s="338"/>
      <c r="J23" s="338"/>
      <c r="K23" s="338"/>
      <c r="L23" s="338"/>
      <c r="M23" s="339"/>
    </row>
    <row r="24" spans="1:13" s="322" customFormat="1">
      <c r="A24" s="328"/>
      <c r="B24" s="343" t="s">
        <v>208</v>
      </c>
      <c r="C24" s="336"/>
      <c r="D24" s="336"/>
      <c r="E24" s="337"/>
      <c r="F24" s="338"/>
      <c r="G24" s="338"/>
      <c r="H24" s="338"/>
      <c r="I24" s="338"/>
      <c r="J24" s="338"/>
      <c r="K24" s="338"/>
      <c r="L24" s="338"/>
      <c r="M24" s="339"/>
    </row>
    <row r="25" spans="1:13" s="322" customFormat="1">
      <c r="A25" s="328"/>
      <c r="B25" s="343" t="s">
        <v>209</v>
      </c>
      <c r="C25" s="336"/>
      <c r="D25" s="336"/>
      <c r="E25" s="337"/>
      <c r="F25" s="331"/>
      <c r="G25" s="331"/>
      <c r="H25" s="331"/>
      <c r="I25" s="331"/>
      <c r="J25" s="331"/>
      <c r="K25" s="331"/>
      <c r="L25" s="331"/>
      <c r="M25" s="339"/>
    </row>
    <row r="26" spans="1:13" s="322" customFormat="1">
      <c r="A26" s="328"/>
      <c r="B26" s="344" t="s">
        <v>210</v>
      </c>
      <c r="C26" s="336"/>
      <c r="D26" s="336"/>
      <c r="E26" s="337"/>
      <c r="F26" s="338"/>
      <c r="G26" s="331"/>
      <c r="H26" s="331"/>
      <c r="I26" s="331"/>
      <c r="J26" s="331"/>
      <c r="K26" s="331"/>
      <c r="L26" s="331"/>
      <c r="M26" s="339"/>
    </row>
    <row r="27" spans="1:13" s="322" customFormat="1">
      <c r="A27" s="328"/>
      <c r="B27" s="344" t="s">
        <v>211</v>
      </c>
      <c r="C27" s="336"/>
      <c r="D27" s="336"/>
      <c r="E27" s="337"/>
      <c r="F27" s="338"/>
      <c r="G27" s="331"/>
      <c r="H27" s="331"/>
      <c r="I27" s="331"/>
      <c r="J27" s="331"/>
      <c r="K27" s="331"/>
      <c r="L27" s="331"/>
      <c r="M27" s="345"/>
    </row>
    <row r="28" spans="1:13" s="322" customFormat="1" ht="24" customHeight="1">
      <c r="A28" s="316" t="s">
        <v>41</v>
      </c>
      <c r="B28" s="317" t="s">
        <v>212</v>
      </c>
      <c r="C28" s="318" t="s">
        <v>213</v>
      </c>
      <c r="D28" s="319"/>
      <c r="E28" s="317"/>
      <c r="F28" s="320">
        <f>+F29+F33</f>
        <v>0</v>
      </c>
      <c r="G28" s="320">
        <f t="shared" ref="G28:L28" si="3">+G29+G33</f>
        <v>0</v>
      </c>
      <c r="H28" s="320">
        <f t="shared" si="3"/>
        <v>0</v>
      </c>
      <c r="I28" s="320">
        <f t="shared" si="3"/>
        <v>0</v>
      </c>
      <c r="J28" s="320">
        <f t="shared" si="3"/>
        <v>0</v>
      </c>
      <c r="K28" s="320">
        <f t="shared" si="3"/>
        <v>0</v>
      </c>
      <c r="L28" s="320">
        <f t="shared" si="3"/>
        <v>0</v>
      </c>
      <c r="M28" s="321"/>
    </row>
    <row r="29" spans="1:13" s="322" customFormat="1" ht="19.5" customHeight="1">
      <c r="A29" s="323" t="s">
        <v>17</v>
      </c>
      <c r="B29" s="324" t="s">
        <v>199</v>
      </c>
      <c r="C29" s="324"/>
      <c r="D29" s="325"/>
      <c r="E29" s="324"/>
      <c r="F29" s="326">
        <f>SUM(F30:F32)</f>
        <v>0</v>
      </c>
      <c r="G29" s="326">
        <f t="shared" ref="G29:L29" si="4">SUM(G30:G32)</f>
        <v>0</v>
      </c>
      <c r="H29" s="326">
        <f t="shared" si="4"/>
        <v>0</v>
      </c>
      <c r="I29" s="326">
        <f t="shared" si="4"/>
        <v>0</v>
      </c>
      <c r="J29" s="326">
        <f t="shared" si="4"/>
        <v>0</v>
      </c>
      <c r="K29" s="326">
        <f t="shared" si="4"/>
        <v>0</v>
      </c>
      <c r="L29" s="326">
        <f t="shared" si="4"/>
        <v>0</v>
      </c>
      <c r="M29" s="327"/>
    </row>
    <row r="30" spans="1:13" s="322" customFormat="1">
      <c r="A30" s="328">
        <v>1</v>
      </c>
      <c r="B30" s="329" t="s">
        <v>200</v>
      </c>
      <c r="C30" s="329"/>
      <c r="D30" s="330"/>
      <c r="E30" s="329"/>
      <c r="F30" s="331">
        <v>0</v>
      </c>
      <c r="G30" s="331">
        <v>0</v>
      </c>
      <c r="H30" s="331">
        <v>0</v>
      </c>
      <c r="I30" s="331">
        <f>G30-H30</f>
        <v>0</v>
      </c>
      <c r="J30" s="331">
        <f>F30-I30</f>
        <v>0</v>
      </c>
      <c r="K30" s="331">
        <v>0</v>
      </c>
      <c r="L30" s="331">
        <v>0</v>
      </c>
      <c r="M30" s="332"/>
    </row>
    <row r="31" spans="1:13" s="322" customFormat="1">
      <c r="A31" s="328">
        <v>2</v>
      </c>
      <c r="B31" s="329" t="s">
        <v>201</v>
      </c>
      <c r="C31" s="329"/>
      <c r="D31" s="330"/>
      <c r="E31" s="333"/>
      <c r="F31" s="331"/>
      <c r="G31" s="331"/>
      <c r="H31" s="331"/>
      <c r="I31" s="331"/>
      <c r="J31" s="331"/>
      <c r="K31" s="331"/>
      <c r="L31" s="331"/>
      <c r="M31" s="332"/>
    </row>
    <row r="32" spans="1:13" s="322" customFormat="1">
      <c r="A32" s="328">
        <v>3</v>
      </c>
      <c r="B32" s="329" t="s">
        <v>201</v>
      </c>
      <c r="C32" s="329"/>
      <c r="D32" s="330"/>
      <c r="E32" s="333"/>
      <c r="F32" s="331"/>
      <c r="G32" s="331"/>
      <c r="H32" s="331"/>
      <c r="I32" s="331"/>
      <c r="J32" s="331"/>
      <c r="K32" s="331"/>
      <c r="L32" s="331"/>
      <c r="M32" s="332"/>
    </row>
    <row r="33" spans="1:13" s="322" customFormat="1">
      <c r="A33" s="334" t="s">
        <v>178</v>
      </c>
      <c r="B33" s="335" t="s">
        <v>202</v>
      </c>
      <c r="C33" s="336"/>
      <c r="D33" s="336"/>
      <c r="E33" s="337"/>
      <c r="F33" s="338">
        <f>SUM(F34:F36)</f>
        <v>0</v>
      </c>
      <c r="G33" s="338">
        <f t="shared" ref="G33:L33" si="5">SUM(G34:G36)</f>
        <v>0</v>
      </c>
      <c r="H33" s="338">
        <f t="shared" si="5"/>
        <v>0</v>
      </c>
      <c r="I33" s="338">
        <f t="shared" si="5"/>
        <v>0</v>
      </c>
      <c r="J33" s="338">
        <f t="shared" si="5"/>
        <v>0</v>
      </c>
      <c r="K33" s="338">
        <f t="shared" si="5"/>
        <v>0</v>
      </c>
      <c r="L33" s="338">
        <f t="shared" si="5"/>
        <v>0</v>
      </c>
      <c r="M33" s="339"/>
    </row>
    <row r="34" spans="1:13" s="322" customFormat="1">
      <c r="A34" s="328">
        <v>1</v>
      </c>
      <c r="B34" s="329" t="s">
        <v>200</v>
      </c>
      <c r="C34" s="336"/>
      <c r="D34" s="340"/>
      <c r="E34" s="341"/>
      <c r="F34" s="331">
        <v>0</v>
      </c>
      <c r="G34" s="331">
        <v>0</v>
      </c>
      <c r="H34" s="331">
        <v>0</v>
      </c>
      <c r="I34" s="331">
        <f>G34-H34</f>
        <v>0</v>
      </c>
      <c r="J34" s="331">
        <f>F34-I34</f>
        <v>0</v>
      </c>
      <c r="K34" s="331">
        <v>0</v>
      </c>
      <c r="L34" s="331">
        <v>0</v>
      </c>
      <c r="M34" s="339"/>
    </row>
    <row r="35" spans="1:13" s="322" customFormat="1">
      <c r="A35" s="328">
        <v>2</v>
      </c>
      <c r="B35" s="329" t="s">
        <v>201</v>
      </c>
      <c r="C35" s="329"/>
      <c r="D35" s="330"/>
      <c r="E35" s="333"/>
      <c r="F35" s="331"/>
      <c r="G35" s="331"/>
      <c r="H35" s="331"/>
      <c r="I35" s="331"/>
      <c r="J35" s="331"/>
      <c r="K35" s="331"/>
      <c r="L35" s="331"/>
      <c r="M35" s="332"/>
    </row>
    <row r="36" spans="1:13" s="322" customFormat="1">
      <c r="A36" s="328">
        <v>3</v>
      </c>
      <c r="B36" s="329" t="s">
        <v>201</v>
      </c>
      <c r="C36" s="329"/>
      <c r="D36" s="330"/>
      <c r="E36" s="333"/>
      <c r="F36" s="331"/>
      <c r="G36" s="331"/>
      <c r="H36" s="331"/>
      <c r="I36" s="331"/>
      <c r="J36" s="331"/>
      <c r="K36" s="331"/>
      <c r="L36" s="331"/>
      <c r="M36" s="332"/>
    </row>
    <row r="37" spans="1:13" s="322" customFormat="1" ht="22.5" customHeight="1">
      <c r="A37" s="328"/>
      <c r="B37" s="342" t="s">
        <v>214</v>
      </c>
      <c r="C37" s="336"/>
      <c r="D37" s="336"/>
      <c r="E37" s="337"/>
      <c r="F37" s="338"/>
      <c r="G37" s="331"/>
      <c r="H37" s="331"/>
      <c r="I37" s="331"/>
      <c r="J37" s="331"/>
      <c r="K37" s="331"/>
      <c r="L37" s="331"/>
      <c r="M37" s="339"/>
    </row>
    <row r="38" spans="1:13" s="322" customFormat="1" ht="20.25" customHeight="1">
      <c r="A38" s="328"/>
      <c r="B38" s="343" t="s">
        <v>204</v>
      </c>
      <c r="C38" s="336"/>
      <c r="D38" s="336"/>
      <c r="E38" s="337"/>
      <c r="F38" s="331"/>
      <c r="G38" s="331"/>
      <c r="H38" s="331"/>
      <c r="I38" s="331"/>
      <c r="J38" s="331"/>
      <c r="K38" s="331"/>
      <c r="L38" s="331"/>
      <c r="M38" s="339"/>
    </row>
    <row r="39" spans="1:13" s="322" customFormat="1" ht="28">
      <c r="A39" s="328"/>
      <c r="B39" s="343" t="s">
        <v>205</v>
      </c>
      <c r="C39" s="336"/>
      <c r="D39" s="336"/>
      <c r="E39" s="337"/>
      <c r="F39" s="331"/>
      <c r="G39" s="331"/>
      <c r="H39" s="331"/>
      <c r="I39" s="331"/>
      <c r="J39" s="331"/>
      <c r="K39" s="331"/>
      <c r="L39" s="331"/>
      <c r="M39" s="339"/>
    </row>
    <row r="40" spans="1:13" s="322" customFormat="1">
      <c r="A40" s="328"/>
      <c r="B40" s="343" t="s">
        <v>206</v>
      </c>
      <c r="C40" s="336"/>
      <c r="D40" s="336"/>
      <c r="E40" s="337"/>
      <c r="F40" s="331"/>
      <c r="G40" s="331"/>
      <c r="H40" s="331"/>
      <c r="I40" s="331"/>
      <c r="J40" s="331"/>
      <c r="K40" s="331"/>
      <c r="L40" s="331"/>
      <c r="M40" s="339"/>
    </row>
    <row r="41" spans="1:13" s="322" customFormat="1">
      <c r="A41" s="328"/>
      <c r="B41" s="343" t="s">
        <v>207</v>
      </c>
      <c r="C41" s="336"/>
      <c r="D41" s="336"/>
      <c r="E41" s="337"/>
      <c r="F41" s="338"/>
      <c r="G41" s="338"/>
      <c r="H41" s="338"/>
      <c r="I41" s="338"/>
      <c r="J41" s="338"/>
      <c r="K41" s="338"/>
      <c r="L41" s="338"/>
      <c r="M41" s="339"/>
    </row>
    <row r="42" spans="1:13" s="322" customFormat="1">
      <c r="A42" s="328"/>
      <c r="B42" s="343" t="s">
        <v>208</v>
      </c>
      <c r="C42" s="336"/>
      <c r="D42" s="336"/>
      <c r="E42" s="337"/>
      <c r="F42" s="338"/>
      <c r="G42" s="338"/>
      <c r="H42" s="338"/>
      <c r="I42" s="338"/>
      <c r="J42" s="338"/>
      <c r="K42" s="338"/>
      <c r="L42" s="338"/>
      <c r="M42" s="339"/>
    </row>
    <row r="43" spans="1:13" s="322" customFormat="1">
      <c r="A43" s="328"/>
      <c r="B43" s="343" t="s">
        <v>209</v>
      </c>
      <c r="C43" s="336"/>
      <c r="D43" s="336"/>
      <c r="E43" s="337"/>
      <c r="F43" s="331"/>
      <c r="G43" s="331"/>
      <c r="H43" s="331"/>
      <c r="I43" s="331"/>
      <c r="J43" s="331"/>
      <c r="K43" s="331"/>
      <c r="L43" s="331"/>
      <c r="M43" s="339"/>
    </row>
    <row r="44" spans="1:13" s="322" customFormat="1">
      <c r="A44" s="328"/>
      <c r="B44" s="344" t="s">
        <v>210</v>
      </c>
      <c r="C44" s="336"/>
      <c r="D44" s="336"/>
      <c r="E44" s="337"/>
      <c r="F44" s="338"/>
      <c r="G44" s="331"/>
      <c r="H44" s="331"/>
      <c r="I44" s="331"/>
      <c r="J44" s="331"/>
      <c r="K44" s="331"/>
      <c r="L44" s="331"/>
      <c r="M44" s="339"/>
    </row>
    <row r="45" spans="1:13" s="322" customFormat="1">
      <c r="A45" s="328"/>
      <c r="B45" s="344" t="s">
        <v>211</v>
      </c>
      <c r="C45" s="336"/>
      <c r="D45" s="336"/>
      <c r="E45" s="337"/>
      <c r="F45" s="338"/>
      <c r="G45" s="331"/>
      <c r="H45" s="331"/>
      <c r="I45" s="331"/>
      <c r="J45" s="331"/>
      <c r="K45" s="331"/>
      <c r="L45" s="331"/>
      <c r="M45" s="345"/>
    </row>
    <row r="46" spans="1:13" s="322" customFormat="1">
      <c r="A46" s="346"/>
      <c r="B46" s="347"/>
      <c r="C46" s="347"/>
      <c r="D46" s="348"/>
      <c r="E46" s="347"/>
      <c r="F46" s="349"/>
      <c r="G46" s="349"/>
      <c r="H46" s="349"/>
      <c r="I46" s="349"/>
      <c r="J46" s="349"/>
      <c r="K46" s="349"/>
      <c r="L46" s="349"/>
      <c r="M46" s="350"/>
    </row>
    <row r="47" spans="1:13" s="322" customFormat="1" ht="25.5" customHeight="1">
      <c r="A47" s="316"/>
      <c r="B47" s="317" t="s">
        <v>215</v>
      </c>
      <c r="C47" s="318"/>
      <c r="D47" s="319"/>
      <c r="E47" s="317"/>
      <c r="F47" s="320"/>
      <c r="G47" s="320"/>
      <c r="H47" s="320"/>
      <c r="I47" s="320"/>
      <c r="J47" s="320"/>
      <c r="K47" s="320"/>
      <c r="L47" s="320"/>
      <c r="M47" s="321"/>
    </row>
    <row r="48" spans="1:13" s="322" customFormat="1" ht="28.5" customHeight="1">
      <c r="A48" s="351"/>
      <c r="B48" s="352" t="s">
        <v>216</v>
      </c>
      <c r="C48" s="352"/>
      <c r="D48" s="353"/>
      <c r="E48" s="352"/>
      <c r="F48" s="326"/>
      <c r="G48" s="326"/>
      <c r="H48" s="326"/>
      <c r="I48" s="326"/>
      <c r="J48" s="326"/>
      <c r="K48" s="326"/>
      <c r="L48" s="326"/>
      <c r="M48" s="354"/>
    </row>
    <row r="49" spans="1:13" s="322" customFormat="1">
      <c r="A49" s="351"/>
      <c r="B49" s="355" t="s">
        <v>217</v>
      </c>
      <c r="C49" s="355"/>
      <c r="D49" s="356"/>
      <c r="E49" s="355"/>
      <c r="F49" s="326"/>
      <c r="G49" s="326"/>
      <c r="H49" s="326"/>
      <c r="I49" s="326"/>
      <c r="J49" s="326"/>
      <c r="K49" s="326"/>
      <c r="L49" s="326"/>
      <c r="M49" s="357"/>
    </row>
    <row r="50" spans="1:13" s="322" customFormat="1">
      <c r="A50" s="351"/>
      <c r="B50" s="355" t="s">
        <v>218</v>
      </c>
      <c r="C50" s="355"/>
      <c r="D50" s="356"/>
      <c r="E50" s="355"/>
      <c r="F50" s="326"/>
      <c r="G50" s="326"/>
      <c r="H50" s="326"/>
      <c r="I50" s="326"/>
      <c r="J50" s="326"/>
      <c r="K50" s="326"/>
      <c r="L50" s="326"/>
      <c r="M50" s="357"/>
    </row>
    <row r="51" spans="1:13" s="322" customFormat="1">
      <c r="A51" s="351"/>
      <c r="B51" s="355" t="s">
        <v>208</v>
      </c>
      <c r="C51" s="355"/>
      <c r="D51" s="356"/>
      <c r="E51" s="355"/>
      <c r="F51" s="358"/>
      <c r="G51" s="358"/>
      <c r="H51" s="358"/>
      <c r="I51" s="358"/>
      <c r="J51" s="358"/>
      <c r="K51" s="358"/>
      <c r="L51" s="358"/>
      <c r="M51" s="357"/>
    </row>
    <row r="52" spans="1:13" s="322" customFormat="1">
      <c r="A52" s="351"/>
      <c r="B52" s="355" t="s">
        <v>219</v>
      </c>
      <c r="C52" s="355"/>
      <c r="D52" s="356"/>
      <c r="E52" s="355"/>
      <c r="F52" s="358"/>
      <c r="G52" s="358"/>
      <c r="H52" s="358"/>
      <c r="I52" s="358"/>
      <c r="J52" s="358"/>
      <c r="K52" s="358"/>
      <c r="L52" s="358"/>
      <c r="M52" s="357"/>
    </row>
    <row r="53" spans="1:13" s="365" customFormat="1" ht="14.5" thickBot="1">
      <c r="A53" s="359"/>
      <c r="B53" s="360" t="s">
        <v>220</v>
      </c>
      <c r="C53" s="360"/>
      <c r="D53" s="361"/>
      <c r="E53" s="360"/>
      <c r="F53" s="362"/>
      <c r="G53" s="363"/>
      <c r="H53" s="363"/>
      <c r="I53" s="363"/>
      <c r="J53" s="363"/>
      <c r="K53" s="362"/>
      <c r="L53" s="362"/>
      <c r="M53" s="364"/>
    </row>
    <row r="54" spans="1:13" ht="21" customHeight="1" thickTop="1">
      <c r="A54" s="286"/>
      <c r="B54" s="286"/>
      <c r="C54" s="286"/>
      <c r="D54" s="286"/>
      <c r="E54" s="286"/>
      <c r="F54" s="366"/>
      <c r="G54" s="303"/>
      <c r="H54" s="303"/>
      <c r="I54" s="303"/>
      <c r="J54" s="1377" t="s">
        <v>42</v>
      </c>
      <c r="K54" s="1377"/>
      <c r="L54" s="1377"/>
      <c r="M54" s="1377"/>
    </row>
    <row r="55" spans="1:13" ht="21" customHeight="1">
      <c r="A55" s="286"/>
      <c r="B55" s="286"/>
      <c r="C55" s="286"/>
      <c r="D55" s="286"/>
      <c r="E55" s="286"/>
      <c r="F55" s="366"/>
      <c r="G55" s="303"/>
      <c r="H55" s="303"/>
      <c r="I55" s="303"/>
      <c r="J55" s="1378" t="s">
        <v>43</v>
      </c>
      <c r="K55" s="1378"/>
      <c r="L55" s="1378"/>
      <c r="M55" s="1378"/>
    </row>
    <row r="56" spans="1:13">
      <c r="A56" s="286"/>
      <c r="B56" s="367" t="s">
        <v>221</v>
      </c>
      <c r="C56" s="286"/>
      <c r="D56" s="286"/>
      <c r="E56" s="286"/>
      <c r="F56" s="366"/>
      <c r="G56" s="303"/>
      <c r="H56" s="303"/>
      <c r="I56" s="303"/>
      <c r="J56" s="303"/>
      <c r="K56" s="71"/>
      <c r="L56" s="71"/>
      <c r="M56" s="294"/>
    </row>
    <row r="57" spans="1:13">
      <c r="A57" s="286"/>
      <c r="B57" s="368" t="s">
        <v>222</v>
      </c>
      <c r="C57" s="286"/>
      <c r="D57" s="286"/>
      <c r="E57" s="286"/>
      <c r="F57" s="366"/>
      <c r="G57" s="303"/>
      <c r="H57" s="303"/>
      <c r="I57" s="303"/>
      <c r="J57" s="303"/>
      <c r="K57" s="71"/>
      <c r="L57" s="71"/>
      <c r="M57" s="294"/>
    </row>
    <row r="58" spans="1:13">
      <c r="A58" s="286"/>
      <c r="B58" s="368" t="s">
        <v>223</v>
      </c>
      <c r="C58" s="286"/>
      <c r="D58" s="286"/>
      <c r="E58" s="286"/>
      <c r="F58" s="369"/>
      <c r="G58" s="303"/>
      <c r="H58" s="303"/>
      <c r="I58" s="303"/>
      <c r="J58" s="303"/>
      <c r="K58" s="71"/>
      <c r="L58" s="71"/>
      <c r="M58" s="294"/>
    </row>
    <row r="59" spans="1:13">
      <c r="A59" s="286"/>
      <c r="B59" s="286"/>
      <c r="C59" s="286"/>
      <c r="D59" s="286"/>
      <c r="E59" s="286"/>
      <c r="F59" s="369"/>
      <c r="G59" s="303"/>
      <c r="H59" s="303"/>
      <c r="I59" s="303"/>
      <c r="J59" s="303"/>
      <c r="K59" s="71"/>
      <c r="L59" s="71"/>
      <c r="M59" s="294"/>
    </row>
    <row r="60" spans="1:13" ht="13.5" customHeight="1">
      <c r="A60" s="286"/>
      <c r="B60" s="286"/>
      <c r="C60" s="286"/>
      <c r="D60" s="286"/>
      <c r="E60" s="286"/>
      <c r="F60" s="369"/>
      <c r="G60" s="303"/>
      <c r="H60" s="303"/>
      <c r="I60" s="303"/>
      <c r="J60" s="303"/>
      <c r="K60" s="71"/>
      <c r="L60" s="71"/>
      <c r="M60" s="294"/>
    </row>
    <row r="61" spans="1:13">
      <c r="A61" s="286"/>
      <c r="B61" s="286"/>
      <c r="C61" s="286"/>
      <c r="D61" s="286"/>
      <c r="E61" s="286"/>
      <c r="F61" s="366"/>
      <c r="G61" s="303"/>
      <c r="H61" s="303"/>
      <c r="I61" s="303"/>
      <c r="J61" s="303"/>
      <c r="K61" s="71"/>
      <c r="L61" s="71"/>
      <c r="M61" s="294"/>
    </row>
    <row r="62" spans="1:13">
      <c r="A62" s="286"/>
      <c r="B62" s="286"/>
      <c r="C62" s="286"/>
      <c r="D62" s="286"/>
      <c r="E62" s="286"/>
      <c r="F62" s="366"/>
      <c r="G62" s="303"/>
      <c r="H62" s="303"/>
      <c r="I62" s="303"/>
      <c r="J62" s="303"/>
      <c r="K62" s="71"/>
      <c r="L62" s="71"/>
      <c r="M62" s="294"/>
    </row>
    <row r="63" spans="1:13">
      <c r="A63" s="286"/>
      <c r="B63" s="286"/>
      <c r="C63" s="286"/>
      <c r="D63" s="286"/>
      <c r="E63" s="286"/>
      <c r="F63" s="366"/>
      <c r="G63" s="303"/>
      <c r="H63" s="303"/>
      <c r="I63" s="303"/>
      <c r="J63" s="303"/>
      <c r="K63" s="71"/>
      <c r="L63" s="71"/>
      <c r="M63" s="294"/>
    </row>
    <row r="64" spans="1:13">
      <c r="A64" s="286"/>
      <c r="B64" s="286"/>
      <c r="C64" s="286"/>
      <c r="D64" s="286"/>
      <c r="E64" s="286"/>
      <c r="F64" s="366"/>
      <c r="G64" s="303"/>
      <c r="H64" s="303"/>
      <c r="I64" s="303"/>
      <c r="J64" s="303"/>
      <c r="K64" s="71"/>
      <c r="L64" s="71"/>
      <c r="M64" s="294"/>
    </row>
    <row r="65" spans="1:13">
      <c r="A65" s="286"/>
      <c r="B65" s="286"/>
      <c r="C65" s="286"/>
      <c r="D65" s="286"/>
      <c r="E65" s="286"/>
      <c r="F65" s="366"/>
      <c r="G65" s="303"/>
      <c r="H65" s="303"/>
      <c r="I65" s="303"/>
      <c r="J65" s="303"/>
      <c r="K65" s="71"/>
      <c r="L65" s="71"/>
      <c r="M65" s="294"/>
    </row>
    <row r="66" spans="1:13">
      <c r="A66" s="286"/>
      <c r="B66" s="286"/>
      <c r="C66" s="286"/>
      <c r="D66" s="286"/>
      <c r="E66" s="286"/>
      <c r="F66" s="366"/>
      <c r="G66" s="303"/>
      <c r="H66" s="303"/>
      <c r="I66" s="303"/>
      <c r="J66" s="303"/>
      <c r="K66" s="71"/>
      <c r="L66" s="71"/>
      <c r="M66" s="294"/>
    </row>
    <row r="67" spans="1:13">
      <c r="A67" s="286"/>
      <c r="B67" s="286"/>
      <c r="C67" s="286"/>
      <c r="D67" s="286"/>
      <c r="E67" s="286"/>
      <c r="F67" s="366"/>
      <c r="G67" s="303"/>
      <c r="H67" s="303"/>
      <c r="I67" s="303"/>
      <c r="J67" s="303"/>
      <c r="K67" s="71"/>
      <c r="L67" s="71"/>
      <c r="M67" s="294"/>
    </row>
    <row r="68" spans="1:13">
      <c r="A68" s="286"/>
      <c r="B68" s="286"/>
      <c r="C68" s="286"/>
      <c r="D68" s="286"/>
      <c r="E68" s="286"/>
      <c r="F68" s="366"/>
      <c r="G68" s="303"/>
      <c r="H68" s="303"/>
      <c r="I68" s="303"/>
      <c r="J68" s="303"/>
      <c r="K68" s="71"/>
      <c r="L68" s="71"/>
      <c r="M68" s="294"/>
    </row>
    <row r="69" spans="1:13">
      <c r="A69" s="286"/>
      <c r="B69" s="286"/>
      <c r="C69" s="286"/>
      <c r="D69" s="286"/>
      <c r="E69" s="286"/>
      <c r="F69" s="366"/>
      <c r="G69" s="303"/>
      <c r="H69" s="303"/>
      <c r="I69" s="303"/>
      <c r="J69" s="303"/>
      <c r="K69" s="71"/>
      <c r="L69" s="71"/>
      <c r="M69" s="294"/>
    </row>
    <row r="70" spans="1:13">
      <c r="A70" s="286"/>
      <c r="B70" s="286"/>
      <c r="C70" s="286"/>
      <c r="D70" s="286"/>
      <c r="E70" s="286"/>
      <c r="F70" s="366"/>
      <c r="G70" s="303"/>
      <c r="H70" s="303"/>
      <c r="I70" s="303"/>
      <c r="J70" s="303"/>
      <c r="K70" s="71"/>
      <c r="L70" s="71"/>
      <c r="M70" s="294"/>
    </row>
    <row r="71" spans="1:13">
      <c r="A71" s="286"/>
      <c r="B71" s="286"/>
      <c r="C71" s="286"/>
      <c r="D71" s="286"/>
      <c r="E71" s="286"/>
      <c r="F71" s="366"/>
      <c r="G71" s="303"/>
      <c r="H71" s="303"/>
      <c r="I71" s="303"/>
      <c r="J71" s="303"/>
      <c r="K71" s="71"/>
      <c r="L71" s="71"/>
      <c r="M71" s="294"/>
    </row>
    <row r="72" spans="1:13">
      <c r="A72" s="286"/>
      <c r="B72" s="286"/>
      <c r="C72" s="286"/>
      <c r="D72" s="286"/>
      <c r="E72" s="286"/>
      <c r="F72" s="366"/>
      <c r="G72" s="303"/>
      <c r="H72" s="303"/>
      <c r="I72" s="303"/>
      <c r="J72" s="303"/>
      <c r="K72" s="71"/>
      <c r="L72" s="71"/>
      <c r="M72" s="294"/>
    </row>
    <row r="73" spans="1:13">
      <c r="A73" s="286"/>
      <c r="B73" s="286"/>
      <c r="C73" s="286"/>
      <c r="D73" s="286"/>
      <c r="E73" s="286"/>
      <c r="F73" s="366"/>
      <c r="G73" s="303"/>
      <c r="H73" s="303"/>
      <c r="I73" s="303"/>
      <c r="J73" s="303"/>
      <c r="K73" s="71"/>
      <c r="L73" s="71"/>
      <c r="M73" s="294"/>
    </row>
    <row r="74" spans="1:13">
      <c r="A74" s="286"/>
      <c r="B74" s="286"/>
      <c r="C74" s="286"/>
      <c r="D74" s="286"/>
      <c r="E74" s="286"/>
      <c r="F74" s="366"/>
      <c r="G74" s="303"/>
      <c r="H74" s="303"/>
      <c r="I74" s="303"/>
      <c r="J74" s="303"/>
      <c r="K74" s="71"/>
      <c r="L74" s="71"/>
      <c r="M74" s="294"/>
    </row>
    <row r="75" spans="1:13">
      <c r="A75" s="286"/>
      <c r="B75" s="286"/>
      <c r="C75" s="286"/>
      <c r="D75" s="286"/>
      <c r="E75" s="286"/>
      <c r="F75" s="366"/>
      <c r="G75" s="303"/>
      <c r="H75" s="303"/>
      <c r="I75" s="303"/>
      <c r="J75" s="303"/>
      <c r="K75" s="71"/>
      <c r="L75" s="71"/>
      <c r="M75" s="294"/>
    </row>
    <row r="76" spans="1:13">
      <c r="A76" s="286"/>
      <c r="B76" s="286"/>
      <c r="C76" s="286"/>
      <c r="D76" s="286"/>
      <c r="E76" s="286"/>
      <c r="F76" s="366"/>
      <c r="G76" s="303"/>
      <c r="H76" s="303"/>
      <c r="I76" s="303"/>
      <c r="J76" s="303"/>
      <c r="K76" s="71"/>
      <c r="L76" s="71"/>
      <c r="M76" s="294"/>
    </row>
    <row r="77" spans="1:13">
      <c r="A77" s="286"/>
      <c r="B77" s="286"/>
      <c r="C77" s="286"/>
      <c r="D77" s="286"/>
      <c r="E77" s="286"/>
      <c r="F77" s="366"/>
      <c r="G77" s="303"/>
      <c r="H77" s="303"/>
      <c r="I77" s="303"/>
      <c r="J77" s="303"/>
      <c r="K77" s="71"/>
      <c r="L77" s="71"/>
      <c r="M77" s="294"/>
    </row>
    <row r="78" spans="1:13">
      <c r="A78" s="286"/>
      <c r="B78" s="286"/>
      <c r="C78" s="286"/>
      <c r="D78" s="286"/>
      <c r="E78" s="286"/>
      <c r="F78" s="366"/>
      <c r="G78" s="303"/>
      <c r="H78" s="303"/>
      <c r="I78" s="303"/>
      <c r="J78" s="303"/>
      <c r="K78" s="71"/>
      <c r="L78" s="71"/>
      <c r="M78" s="294"/>
    </row>
    <row r="79" spans="1:13">
      <c r="A79" s="286"/>
      <c r="B79" s="286"/>
      <c r="C79" s="286"/>
      <c r="D79" s="286"/>
      <c r="E79" s="286"/>
      <c r="F79" s="366"/>
      <c r="G79" s="303"/>
      <c r="H79" s="303"/>
      <c r="I79" s="303"/>
      <c r="J79" s="303"/>
      <c r="K79" s="71"/>
      <c r="L79" s="71"/>
      <c r="M79" s="294"/>
    </row>
    <row r="80" spans="1:13">
      <c r="A80" s="286"/>
      <c r="B80" s="286"/>
      <c r="C80" s="286"/>
      <c r="D80" s="286"/>
      <c r="E80" s="286"/>
      <c r="F80" s="366"/>
      <c r="G80" s="303"/>
      <c r="H80" s="303"/>
      <c r="I80" s="303"/>
      <c r="J80" s="303"/>
      <c r="K80" s="71"/>
      <c r="L80" s="71"/>
      <c r="M80" s="294"/>
    </row>
    <row r="81" spans="1:13">
      <c r="A81" s="286"/>
      <c r="B81" s="286"/>
      <c r="C81" s="286"/>
      <c r="D81" s="286"/>
      <c r="E81" s="286"/>
      <c r="F81" s="366"/>
      <c r="G81" s="303"/>
      <c r="H81" s="303"/>
      <c r="I81" s="303"/>
      <c r="J81" s="303"/>
      <c r="K81" s="71"/>
      <c r="L81" s="71"/>
      <c r="M81" s="294"/>
    </row>
  </sheetData>
  <mergeCells count="20">
    <mergeCell ref="A1:E1"/>
    <mergeCell ref="A2:E2"/>
    <mergeCell ref="A3:M3"/>
    <mergeCell ref="A5:M5"/>
    <mergeCell ref="A7:A8"/>
    <mergeCell ref="B7:B8"/>
    <mergeCell ref="C7:C8"/>
    <mergeCell ref="D7:D8"/>
    <mergeCell ref="E7:E8"/>
    <mergeCell ref="F7:F8"/>
    <mergeCell ref="M7:M8"/>
    <mergeCell ref="A4:M4"/>
    <mergeCell ref="J54:M54"/>
    <mergeCell ref="J55:M55"/>
    <mergeCell ref="G7:G8"/>
    <mergeCell ref="H7:H8"/>
    <mergeCell ref="I7:I8"/>
    <mergeCell ref="J7:J8"/>
    <mergeCell ref="K7:K8"/>
    <mergeCell ref="L7:L8"/>
  </mergeCells>
  <pageMargins left="0.24" right="0.17" top="0.39" bottom="0.21" header="0.3" footer="0.3"/>
  <pageSetup paperSize="9" scale="8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86"/>
  <sheetViews>
    <sheetView workbookViewId="0">
      <selection activeCell="G92" sqref="G92"/>
    </sheetView>
  </sheetViews>
  <sheetFormatPr defaultColWidth="8.9140625" defaultRowHeight="14"/>
  <cols>
    <col min="1" max="1" width="4.9140625" style="31" customWidth="1"/>
    <col min="2" max="2" width="28.33203125" style="32" customWidth="1"/>
    <col min="3" max="3" width="16.4140625" style="32" customWidth="1"/>
    <col min="4" max="5" width="7.08203125" customWidth="1"/>
    <col min="6" max="6" width="9.4140625" customWidth="1"/>
    <col min="7" max="7" width="8.08203125" customWidth="1"/>
    <col min="8" max="8" width="6.6640625" customWidth="1"/>
    <col min="9" max="9" width="7.08203125" customWidth="1"/>
    <col min="10" max="10" width="6.4140625" customWidth="1"/>
    <col min="11" max="11" width="8.9140625" customWidth="1"/>
    <col min="12" max="12" width="7.9140625" customWidth="1"/>
    <col min="13" max="14" width="7.4140625" customWidth="1"/>
    <col min="15" max="15" width="9.08203125" customWidth="1"/>
    <col min="16" max="16" width="18.4140625" customWidth="1"/>
  </cols>
  <sheetData>
    <row r="1" spans="1:17" ht="15">
      <c r="A1" s="1403" t="s">
        <v>0</v>
      </c>
      <c r="B1" s="1403"/>
      <c r="C1" s="1403"/>
      <c r="D1" s="1368"/>
      <c r="E1" s="1368"/>
      <c r="F1" s="1368"/>
      <c r="G1" s="1368"/>
      <c r="H1" s="1368"/>
      <c r="I1" s="1368"/>
      <c r="J1" s="1368"/>
      <c r="K1" s="1368"/>
      <c r="L1" s="1368"/>
      <c r="M1" s="1368"/>
      <c r="N1" s="1368"/>
      <c r="O1" s="1368"/>
      <c r="P1" s="54" t="s">
        <v>235</v>
      </c>
    </row>
    <row r="2" spans="1:17" ht="16.5" customHeight="1">
      <c r="A2" s="1319" t="s">
        <v>808</v>
      </c>
      <c r="B2" s="1319"/>
      <c r="C2" s="1319"/>
      <c r="D2" s="1369"/>
      <c r="E2" s="1369"/>
      <c r="F2" s="1369"/>
      <c r="G2" s="1369"/>
      <c r="H2" s="1369"/>
      <c r="I2" s="1369"/>
      <c r="J2" s="1369"/>
      <c r="K2" s="1369"/>
      <c r="L2" s="1369"/>
      <c r="M2" s="1369"/>
      <c r="N2" s="1369"/>
      <c r="O2" s="1369"/>
      <c r="P2" s="2"/>
    </row>
    <row r="3" spans="1:17" ht="19.5" customHeight="1">
      <c r="A3" s="1303" t="s">
        <v>236</v>
      </c>
      <c r="B3" s="1303"/>
      <c r="C3" s="1303"/>
      <c r="D3" s="1303"/>
      <c r="E3" s="1303"/>
      <c r="F3" s="1303"/>
      <c r="G3" s="1303"/>
      <c r="H3" s="1303"/>
      <c r="I3" s="1303"/>
      <c r="J3" s="1303"/>
      <c r="K3" s="1303"/>
      <c r="L3" s="1303"/>
      <c r="M3" s="1303"/>
      <c r="N3" s="1303"/>
      <c r="O3" s="1303"/>
      <c r="P3" s="1303"/>
    </row>
    <row r="4" spans="1:17" ht="14.5" thickBot="1">
      <c r="A4" s="3"/>
      <c r="B4" s="3"/>
      <c r="C4" s="3"/>
      <c r="D4" s="3"/>
      <c r="E4" s="3"/>
      <c r="F4" s="3"/>
      <c r="G4" s="1395" t="s">
        <v>237</v>
      </c>
      <c r="H4" s="1395"/>
      <c r="I4" s="1395"/>
      <c r="J4" s="1395"/>
      <c r="K4" s="1395"/>
      <c r="L4" s="1395"/>
      <c r="M4" s="1395"/>
      <c r="N4" s="1395"/>
      <c r="O4" s="1395"/>
      <c r="P4" s="1395"/>
    </row>
    <row r="5" spans="1:17" ht="29.25" customHeight="1">
      <c r="A5" s="1399" t="s">
        <v>5</v>
      </c>
      <c r="B5" s="1401" t="s">
        <v>238</v>
      </c>
      <c r="C5" s="1401" t="s">
        <v>189</v>
      </c>
      <c r="D5" s="1393" t="s">
        <v>239</v>
      </c>
      <c r="E5" s="1393"/>
      <c r="F5" s="1393"/>
      <c r="G5" s="1393"/>
      <c r="H5" s="1393" t="s">
        <v>240</v>
      </c>
      <c r="I5" s="1393"/>
      <c r="J5" s="1393"/>
      <c r="K5" s="1393"/>
      <c r="L5" s="1393" t="s">
        <v>241</v>
      </c>
      <c r="M5" s="1393"/>
      <c r="N5" s="1393"/>
      <c r="O5" s="1393"/>
      <c r="P5" s="1396" t="s">
        <v>16</v>
      </c>
    </row>
    <row r="6" spans="1:17" ht="39">
      <c r="A6" s="1400"/>
      <c r="B6" s="1402"/>
      <c r="C6" s="1402"/>
      <c r="D6" s="681" t="s">
        <v>242</v>
      </c>
      <c r="E6" s="681" t="s">
        <v>243</v>
      </c>
      <c r="F6" s="681" t="s">
        <v>244</v>
      </c>
      <c r="G6" s="681" t="s">
        <v>245</v>
      </c>
      <c r="H6" s="681" t="s">
        <v>242</v>
      </c>
      <c r="I6" s="681" t="s">
        <v>243</v>
      </c>
      <c r="J6" s="681" t="s">
        <v>244</v>
      </c>
      <c r="K6" s="681" t="s">
        <v>245</v>
      </c>
      <c r="L6" s="681" t="s">
        <v>242</v>
      </c>
      <c r="M6" s="681" t="s">
        <v>243</v>
      </c>
      <c r="N6" s="681" t="s">
        <v>244</v>
      </c>
      <c r="O6" s="681" t="s">
        <v>245</v>
      </c>
      <c r="P6" s="1397"/>
    </row>
    <row r="7" spans="1:17">
      <c r="A7" s="846" t="s">
        <v>139</v>
      </c>
      <c r="B7" s="496" t="s">
        <v>140</v>
      </c>
      <c r="C7" s="497" t="s">
        <v>141</v>
      </c>
      <c r="D7" s="497" t="s">
        <v>142</v>
      </c>
      <c r="E7" s="497" t="s">
        <v>143</v>
      </c>
      <c r="F7" s="497" t="s">
        <v>193</v>
      </c>
      <c r="G7" s="497" t="s">
        <v>144</v>
      </c>
      <c r="H7" s="497" t="s">
        <v>194</v>
      </c>
      <c r="I7" s="497" t="s">
        <v>246</v>
      </c>
      <c r="J7" s="497" t="s">
        <v>145</v>
      </c>
      <c r="K7" s="534" t="s">
        <v>146</v>
      </c>
      <c r="L7" s="497" t="s">
        <v>147</v>
      </c>
      <c r="M7" s="497" t="s">
        <v>148</v>
      </c>
      <c r="N7" s="497" t="s">
        <v>149</v>
      </c>
      <c r="O7" s="497" t="s">
        <v>150</v>
      </c>
      <c r="P7" s="699" t="s">
        <v>151</v>
      </c>
    </row>
    <row r="8" spans="1:17" s="58" customFormat="1">
      <c r="A8" s="847"/>
      <c r="B8" s="536" t="s">
        <v>805</v>
      </c>
      <c r="C8" s="535"/>
      <c r="D8" s="535"/>
      <c r="E8" s="535"/>
      <c r="F8" s="535"/>
      <c r="G8" s="535"/>
      <c r="H8" s="535"/>
      <c r="I8" s="535"/>
      <c r="J8" s="535"/>
      <c r="K8" s="535"/>
      <c r="L8" s="535"/>
      <c r="M8" s="535"/>
      <c r="N8" s="535"/>
      <c r="O8" s="535"/>
      <c r="P8" s="848"/>
    </row>
    <row r="9" spans="1:17">
      <c r="A9" s="847"/>
      <c r="B9" s="536" t="s">
        <v>1004</v>
      </c>
      <c r="C9" s="535"/>
      <c r="D9" s="535"/>
      <c r="E9" s="535"/>
      <c r="F9" s="535"/>
      <c r="G9" s="535"/>
      <c r="H9" s="535"/>
      <c r="I9" s="535"/>
      <c r="J9" s="535"/>
      <c r="K9" s="535"/>
      <c r="L9" s="535"/>
      <c r="M9" s="535"/>
      <c r="N9" s="535"/>
      <c r="O9" s="535"/>
      <c r="P9" s="848"/>
    </row>
    <row r="10" spans="1:17">
      <c r="A10" s="847"/>
      <c r="B10" s="536" t="s">
        <v>807</v>
      </c>
      <c r="C10" s="535"/>
      <c r="D10" s="535"/>
      <c r="E10" s="535"/>
      <c r="F10" s="535"/>
      <c r="G10" s="535"/>
      <c r="H10" s="535"/>
      <c r="I10" s="535"/>
      <c r="J10" s="535"/>
      <c r="K10" s="535"/>
      <c r="L10" s="535"/>
      <c r="M10" s="535"/>
      <c r="N10" s="535"/>
      <c r="O10" s="535"/>
      <c r="P10" s="848"/>
    </row>
    <row r="11" spans="1:17" ht="26">
      <c r="A11" s="847"/>
      <c r="B11" s="536" t="s">
        <v>1005</v>
      </c>
      <c r="C11" s="535"/>
      <c r="D11" s="535"/>
      <c r="E11" s="535"/>
      <c r="F11" s="535"/>
      <c r="G11" s="535"/>
      <c r="H11" s="535"/>
      <c r="I11" s="535"/>
      <c r="J11" s="535"/>
      <c r="K11" s="535"/>
      <c r="L11" s="535"/>
      <c r="M11" s="535"/>
      <c r="N11" s="535"/>
      <c r="O11" s="535"/>
      <c r="P11" s="848"/>
    </row>
    <row r="12" spans="1:17" ht="26">
      <c r="A12" s="847"/>
      <c r="B12" s="536" t="s">
        <v>1006</v>
      </c>
      <c r="C12" s="535"/>
      <c r="D12" s="535"/>
      <c r="E12" s="535"/>
      <c r="F12" s="535"/>
      <c r="G12" s="535"/>
      <c r="H12" s="535"/>
      <c r="I12" s="535"/>
      <c r="J12" s="535"/>
      <c r="K12" s="535"/>
      <c r="L12" s="535"/>
      <c r="M12" s="535"/>
      <c r="N12" s="535"/>
      <c r="O12" s="535"/>
      <c r="P12" s="848"/>
    </row>
    <row r="13" spans="1:17">
      <c r="A13" s="847"/>
      <c r="B13" s="536" t="s">
        <v>1007</v>
      </c>
      <c r="C13" s="535"/>
      <c r="D13" s="535"/>
      <c r="E13" s="535"/>
      <c r="F13" s="535"/>
      <c r="G13" s="535"/>
      <c r="H13" s="535"/>
      <c r="I13" s="535"/>
      <c r="J13" s="535"/>
      <c r="K13" s="535"/>
      <c r="L13" s="535"/>
      <c r="M13" s="535"/>
      <c r="N13" s="535"/>
      <c r="O13" s="535"/>
      <c r="P13" s="848"/>
    </row>
    <row r="14" spans="1:17" s="46" customFormat="1" ht="20.149999999999999" customHeight="1">
      <c r="A14" s="847" t="s">
        <v>19</v>
      </c>
      <c r="B14" s="537" t="s">
        <v>877</v>
      </c>
      <c r="C14" s="535"/>
      <c r="D14" s="538">
        <f>SUM(D15:D32)</f>
        <v>11700</v>
      </c>
      <c r="E14" s="538">
        <f>SUM(E15:E32)</f>
        <v>4860</v>
      </c>
      <c r="F14" s="538">
        <f t="shared" ref="F14:L14" si="0">SUM(F15:F32)</f>
        <v>3115</v>
      </c>
      <c r="G14" s="538">
        <f t="shared" si="0"/>
        <v>3725</v>
      </c>
      <c r="H14" s="538">
        <f t="shared" si="0"/>
        <v>2310.5</v>
      </c>
      <c r="I14" s="538">
        <f t="shared" si="0"/>
        <v>1228.5</v>
      </c>
      <c r="J14" s="538">
        <f t="shared" si="0"/>
        <v>324.75</v>
      </c>
      <c r="K14" s="538">
        <f t="shared" si="0"/>
        <v>757.25</v>
      </c>
      <c r="L14" s="538">
        <f t="shared" si="0"/>
        <v>9389.5</v>
      </c>
      <c r="M14" s="538">
        <f>E14-I14</f>
        <v>3631.5</v>
      </c>
      <c r="N14" s="538">
        <f>F14-J14</f>
        <v>2790.25</v>
      </c>
      <c r="O14" s="538">
        <f>G14-K14</f>
        <v>2967.75</v>
      </c>
      <c r="P14" s="848"/>
      <c r="Q14" s="281"/>
    </row>
    <row r="15" spans="1:17" s="46" customFormat="1" ht="20.149999999999999" customHeight="1">
      <c r="A15" s="1235">
        <v>1</v>
      </c>
      <c r="B15" s="539" t="s">
        <v>1033</v>
      </c>
      <c r="C15" s="540" t="s">
        <v>1034</v>
      </c>
      <c r="D15" s="541">
        <f t="shared" ref="D15:D25" si="1">E15+F15+G15</f>
        <v>650</v>
      </c>
      <c r="E15" s="541">
        <v>270</v>
      </c>
      <c r="F15" s="541">
        <v>220</v>
      </c>
      <c r="G15" s="541">
        <v>160</v>
      </c>
      <c r="H15" s="541">
        <f t="shared" ref="H15:H25" si="2">SUM(I15+J15+K15)</f>
        <v>195</v>
      </c>
      <c r="I15" s="541">
        <f>E15*0.3</f>
        <v>81</v>
      </c>
      <c r="J15" s="541">
        <f>F15*0.3</f>
        <v>66</v>
      </c>
      <c r="K15" s="541">
        <f>G15*0.3</f>
        <v>48</v>
      </c>
      <c r="L15" s="541">
        <f t="shared" ref="L15:O25" si="3">D15-H15</f>
        <v>455</v>
      </c>
      <c r="M15" s="541">
        <f t="shared" si="3"/>
        <v>189</v>
      </c>
      <c r="N15" s="541">
        <f t="shared" si="3"/>
        <v>154</v>
      </c>
      <c r="O15" s="541">
        <f t="shared" si="3"/>
        <v>112</v>
      </c>
      <c r="P15" s="849" t="s">
        <v>1035</v>
      </c>
      <c r="Q15"/>
    </row>
    <row r="16" spans="1:17" s="46" customFormat="1" ht="20.149999999999999" customHeight="1">
      <c r="A16" s="1235">
        <v>2</v>
      </c>
      <c r="B16" s="542" t="s">
        <v>1036</v>
      </c>
      <c r="C16" s="540" t="s">
        <v>1037</v>
      </c>
      <c r="D16" s="541">
        <f t="shared" si="1"/>
        <v>650</v>
      </c>
      <c r="E16" s="541">
        <v>270</v>
      </c>
      <c r="F16" s="541">
        <v>175</v>
      </c>
      <c r="G16" s="541">
        <v>205</v>
      </c>
      <c r="H16" s="541">
        <f t="shared" si="2"/>
        <v>162.5</v>
      </c>
      <c r="I16" s="541">
        <f>E16*0.25</f>
        <v>67.5</v>
      </c>
      <c r="J16" s="541">
        <f>F16*0.25</f>
        <v>43.75</v>
      </c>
      <c r="K16" s="541">
        <f>G16*0.25</f>
        <v>51.25</v>
      </c>
      <c r="L16" s="541">
        <f t="shared" si="3"/>
        <v>487.5</v>
      </c>
      <c r="M16" s="541">
        <f t="shared" si="3"/>
        <v>202.5</v>
      </c>
      <c r="N16" s="541">
        <f t="shared" si="3"/>
        <v>131.25</v>
      </c>
      <c r="O16" s="541">
        <f t="shared" si="3"/>
        <v>153.75</v>
      </c>
      <c r="P16" s="849" t="s">
        <v>1038</v>
      </c>
      <c r="Q16"/>
    </row>
    <row r="17" spans="1:17" s="46" customFormat="1" ht="20.149999999999999" customHeight="1">
      <c r="A17" s="1235">
        <v>3</v>
      </c>
      <c r="B17" s="542" t="s">
        <v>1039</v>
      </c>
      <c r="C17" s="540" t="s">
        <v>1040</v>
      </c>
      <c r="D17" s="541">
        <f t="shared" si="1"/>
        <v>650</v>
      </c>
      <c r="E17" s="541">
        <v>270</v>
      </c>
      <c r="F17" s="541">
        <v>175</v>
      </c>
      <c r="G17" s="541">
        <v>205</v>
      </c>
      <c r="H17" s="541">
        <f t="shared" si="2"/>
        <v>130</v>
      </c>
      <c r="I17" s="541">
        <f>E17*0.2</f>
        <v>54</v>
      </c>
      <c r="J17" s="541">
        <f>F17*0.2</f>
        <v>35</v>
      </c>
      <c r="K17" s="541">
        <f>G17*0.2</f>
        <v>41</v>
      </c>
      <c r="L17" s="541">
        <f t="shared" si="3"/>
        <v>520</v>
      </c>
      <c r="M17" s="541">
        <f t="shared" si="3"/>
        <v>216</v>
      </c>
      <c r="N17" s="541">
        <f t="shared" si="3"/>
        <v>140</v>
      </c>
      <c r="O17" s="541">
        <f t="shared" si="3"/>
        <v>164</v>
      </c>
      <c r="P17" s="849" t="s">
        <v>1041</v>
      </c>
      <c r="Q17"/>
    </row>
    <row r="18" spans="1:17" s="46" customFormat="1" ht="20.149999999999999" customHeight="1">
      <c r="A18" s="1235">
        <v>4</v>
      </c>
      <c r="B18" s="543" t="s">
        <v>1042</v>
      </c>
      <c r="C18" s="540" t="s">
        <v>1040</v>
      </c>
      <c r="D18" s="541">
        <f t="shared" si="1"/>
        <v>650</v>
      </c>
      <c r="E18" s="541">
        <v>270</v>
      </c>
      <c r="F18" s="541">
        <v>175</v>
      </c>
      <c r="G18" s="541">
        <v>205</v>
      </c>
      <c r="H18" s="544">
        <v>0</v>
      </c>
      <c r="I18" s="544">
        <v>0</v>
      </c>
      <c r="J18" s="544">
        <v>0</v>
      </c>
      <c r="K18" s="544">
        <v>0</v>
      </c>
      <c r="L18" s="541">
        <f t="shared" si="3"/>
        <v>650</v>
      </c>
      <c r="M18" s="541">
        <f t="shared" si="3"/>
        <v>270</v>
      </c>
      <c r="N18" s="541">
        <f t="shared" si="3"/>
        <v>175</v>
      </c>
      <c r="O18" s="541">
        <f t="shared" si="3"/>
        <v>205</v>
      </c>
      <c r="P18" s="849"/>
      <c r="Q18"/>
    </row>
    <row r="19" spans="1:17" s="46" customFormat="1" ht="20.149999999999999" customHeight="1">
      <c r="A19" s="1235">
        <v>5</v>
      </c>
      <c r="B19" s="543" t="s">
        <v>1043</v>
      </c>
      <c r="C19" s="540" t="s">
        <v>1040</v>
      </c>
      <c r="D19" s="541">
        <f t="shared" si="1"/>
        <v>650</v>
      </c>
      <c r="E19" s="541">
        <v>270</v>
      </c>
      <c r="F19" s="541">
        <v>175</v>
      </c>
      <c r="G19" s="541">
        <v>205</v>
      </c>
      <c r="H19" s="544">
        <v>0</v>
      </c>
      <c r="I19" s="544">
        <v>0</v>
      </c>
      <c r="J19" s="544">
        <v>0</v>
      </c>
      <c r="K19" s="544">
        <v>0</v>
      </c>
      <c r="L19" s="541">
        <f t="shared" si="3"/>
        <v>650</v>
      </c>
      <c r="M19" s="541">
        <f t="shared" si="3"/>
        <v>270</v>
      </c>
      <c r="N19" s="541">
        <f t="shared" si="3"/>
        <v>175</v>
      </c>
      <c r="O19" s="541">
        <f t="shared" si="3"/>
        <v>205</v>
      </c>
      <c r="P19" s="849"/>
      <c r="Q19"/>
    </row>
    <row r="20" spans="1:17" s="46" customFormat="1" ht="20.149999999999999" customHeight="1">
      <c r="A20" s="1235">
        <v>6</v>
      </c>
      <c r="B20" s="543" t="s">
        <v>1044</v>
      </c>
      <c r="C20" s="540" t="s">
        <v>1040</v>
      </c>
      <c r="D20" s="541">
        <f t="shared" si="1"/>
        <v>650</v>
      </c>
      <c r="E20" s="541">
        <v>270</v>
      </c>
      <c r="F20" s="541">
        <v>175</v>
      </c>
      <c r="G20" s="541">
        <v>205</v>
      </c>
      <c r="H20" s="544">
        <v>0</v>
      </c>
      <c r="I20" s="544">
        <v>0</v>
      </c>
      <c r="J20" s="544">
        <v>0</v>
      </c>
      <c r="K20" s="544">
        <v>0</v>
      </c>
      <c r="L20" s="541">
        <f t="shared" si="3"/>
        <v>650</v>
      </c>
      <c r="M20" s="541">
        <f t="shared" si="3"/>
        <v>270</v>
      </c>
      <c r="N20" s="541">
        <f t="shared" si="3"/>
        <v>175</v>
      </c>
      <c r="O20" s="541">
        <f t="shared" si="3"/>
        <v>205</v>
      </c>
      <c r="P20" s="849"/>
      <c r="Q20"/>
    </row>
    <row r="21" spans="1:17" s="46" customFormat="1" ht="24.75" customHeight="1">
      <c r="A21" s="1235">
        <v>7</v>
      </c>
      <c r="B21" s="543" t="s">
        <v>1045</v>
      </c>
      <c r="C21" s="540" t="s">
        <v>1046</v>
      </c>
      <c r="D21" s="541">
        <f t="shared" si="1"/>
        <v>650</v>
      </c>
      <c r="E21" s="541">
        <v>270</v>
      </c>
      <c r="F21" s="541">
        <v>175</v>
      </c>
      <c r="G21" s="541">
        <v>205</v>
      </c>
      <c r="H21" s="541">
        <f t="shared" si="2"/>
        <v>97.5</v>
      </c>
      <c r="I21" s="541">
        <f>E21*0.15</f>
        <v>40.5</v>
      </c>
      <c r="J21" s="541">
        <f t="shared" ref="J21:K22" si="4">F21*0.15</f>
        <v>26.25</v>
      </c>
      <c r="K21" s="541">
        <f t="shared" si="4"/>
        <v>30.75</v>
      </c>
      <c r="L21" s="541">
        <f t="shared" si="3"/>
        <v>552.5</v>
      </c>
      <c r="M21" s="541">
        <f t="shared" si="3"/>
        <v>229.5</v>
      </c>
      <c r="N21" s="541">
        <f t="shared" si="3"/>
        <v>148.75</v>
      </c>
      <c r="O21" s="541">
        <f t="shared" si="3"/>
        <v>174.25</v>
      </c>
      <c r="P21" s="849" t="s">
        <v>1047</v>
      </c>
      <c r="Q21"/>
    </row>
    <row r="22" spans="1:17" s="46" customFormat="1" ht="27" customHeight="1">
      <c r="A22" s="1235">
        <v>8</v>
      </c>
      <c r="B22" s="543" t="s">
        <v>1048</v>
      </c>
      <c r="C22" s="540" t="s">
        <v>1049</v>
      </c>
      <c r="D22" s="541">
        <f t="shared" si="1"/>
        <v>650</v>
      </c>
      <c r="E22" s="541">
        <v>270</v>
      </c>
      <c r="F22" s="541">
        <v>175</v>
      </c>
      <c r="G22" s="541">
        <v>205</v>
      </c>
      <c r="H22" s="541">
        <f t="shared" si="2"/>
        <v>97.5</v>
      </c>
      <c r="I22" s="541">
        <f>E22*0.15</f>
        <v>40.5</v>
      </c>
      <c r="J22" s="541">
        <f t="shared" si="4"/>
        <v>26.25</v>
      </c>
      <c r="K22" s="541">
        <f t="shared" si="4"/>
        <v>30.75</v>
      </c>
      <c r="L22" s="541">
        <f t="shared" si="3"/>
        <v>552.5</v>
      </c>
      <c r="M22" s="541">
        <f t="shared" si="3"/>
        <v>229.5</v>
      </c>
      <c r="N22" s="541">
        <f t="shared" si="3"/>
        <v>148.75</v>
      </c>
      <c r="O22" s="541">
        <f t="shared" si="3"/>
        <v>174.25</v>
      </c>
      <c r="P22" s="849" t="s">
        <v>1047</v>
      </c>
      <c r="Q22" t="s">
        <v>584</v>
      </c>
    </row>
    <row r="23" spans="1:17" s="46" customFormat="1" ht="20.149999999999999" customHeight="1">
      <c r="A23" s="1235">
        <v>9</v>
      </c>
      <c r="B23" s="543" t="s">
        <v>1050</v>
      </c>
      <c r="C23" s="540" t="s">
        <v>1051</v>
      </c>
      <c r="D23" s="541">
        <f t="shared" si="1"/>
        <v>650</v>
      </c>
      <c r="E23" s="541">
        <v>270</v>
      </c>
      <c r="F23" s="541">
        <v>165</v>
      </c>
      <c r="G23" s="541">
        <v>215</v>
      </c>
      <c r="H23" s="541">
        <f t="shared" si="2"/>
        <v>135</v>
      </c>
      <c r="I23" s="541">
        <v>135</v>
      </c>
      <c r="J23" s="544">
        <v>0</v>
      </c>
      <c r="K23" s="544">
        <v>0</v>
      </c>
      <c r="L23" s="541">
        <f t="shared" si="3"/>
        <v>515</v>
      </c>
      <c r="M23" s="541">
        <f t="shared" si="3"/>
        <v>135</v>
      </c>
      <c r="N23" s="541">
        <f t="shared" si="3"/>
        <v>165</v>
      </c>
      <c r="O23" s="541">
        <f t="shared" si="3"/>
        <v>215</v>
      </c>
      <c r="P23" s="849" t="s">
        <v>1052</v>
      </c>
      <c r="Q23"/>
    </row>
    <row r="24" spans="1:17" s="46" customFormat="1" ht="28.5" customHeight="1">
      <c r="A24" s="1235">
        <v>10</v>
      </c>
      <c r="B24" s="543" t="s">
        <v>1053</v>
      </c>
      <c r="C24" s="540" t="s">
        <v>1054</v>
      </c>
      <c r="D24" s="541">
        <f t="shared" si="1"/>
        <v>650</v>
      </c>
      <c r="E24" s="541">
        <v>270</v>
      </c>
      <c r="F24" s="541">
        <v>165</v>
      </c>
      <c r="G24" s="541">
        <v>215</v>
      </c>
      <c r="H24" s="541">
        <f t="shared" si="2"/>
        <v>173</v>
      </c>
      <c r="I24" s="541">
        <f>E24*0.5</f>
        <v>135</v>
      </c>
      <c r="J24" s="541">
        <f>F24*0.1</f>
        <v>16.5</v>
      </c>
      <c r="K24" s="541">
        <f>G24*0.1</f>
        <v>21.5</v>
      </c>
      <c r="L24" s="541">
        <f t="shared" si="3"/>
        <v>477</v>
      </c>
      <c r="M24" s="541">
        <f t="shared" si="3"/>
        <v>135</v>
      </c>
      <c r="N24" s="541">
        <f t="shared" si="3"/>
        <v>148.5</v>
      </c>
      <c r="O24" s="541">
        <f t="shared" si="3"/>
        <v>193.5</v>
      </c>
      <c r="P24" s="850" t="s">
        <v>1055</v>
      </c>
      <c r="Q24"/>
    </row>
    <row r="25" spans="1:17" s="46" customFormat="1" ht="28.5" customHeight="1">
      <c r="A25" s="1235">
        <v>11</v>
      </c>
      <c r="B25" s="543" t="s">
        <v>1056</v>
      </c>
      <c r="C25" s="540" t="s">
        <v>1057</v>
      </c>
      <c r="D25" s="541">
        <f t="shared" si="1"/>
        <v>650</v>
      </c>
      <c r="E25" s="541">
        <v>270</v>
      </c>
      <c r="F25" s="541">
        <v>165</v>
      </c>
      <c r="G25" s="541">
        <v>215</v>
      </c>
      <c r="H25" s="541">
        <f t="shared" si="2"/>
        <v>510</v>
      </c>
      <c r="I25" s="541">
        <f>E25</f>
        <v>270</v>
      </c>
      <c r="J25" s="541">
        <v>25</v>
      </c>
      <c r="K25" s="541">
        <f>G25</f>
        <v>215</v>
      </c>
      <c r="L25" s="541">
        <f t="shared" si="3"/>
        <v>140</v>
      </c>
      <c r="M25" s="545">
        <v>0</v>
      </c>
      <c r="N25" s="541">
        <f t="shared" si="3"/>
        <v>140</v>
      </c>
      <c r="O25" s="545">
        <v>0</v>
      </c>
      <c r="P25" s="849" t="s">
        <v>1058</v>
      </c>
      <c r="Q25"/>
    </row>
    <row r="26" spans="1:17" s="46" customFormat="1" ht="20.149999999999999" customHeight="1">
      <c r="A26" s="1235">
        <v>12</v>
      </c>
      <c r="B26" s="546" t="s">
        <v>1059</v>
      </c>
      <c r="C26" s="540" t="s">
        <v>1060</v>
      </c>
      <c r="D26" s="547">
        <f t="shared" ref="D26:D32" si="5">E26+F26+G26</f>
        <v>650</v>
      </c>
      <c r="E26" s="547">
        <v>270</v>
      </c>
      <c r="F26" s="547">
        <v>175</v>
      </c>
      <c r="G26" s="547">
        <v>205</v>
      </c>
      <c r="H26" s="547">
        <f t="shared" ref="H26:H32" si="6">SUM(I26+J26+K26)</f>
        <v>130</v>
      </c>
      <c r="I26" s="547">
        <f>E26*0.2</f>
        <v>54</v>
      </c>
      <c r="J26" s="547">
        <f>F26*0.2</f>
        <v>35</v>
      </c>
      <c r="K26" s="547">
        <f>G26*0.2</f>
        <v>41</v>
      </c>
      <c r="L26" s="547">
        <f>SUM(M26:O26)</f>
        <v>520</v>
      </c>
      <c r="M26" s="547">
        <f t="shared" ref="M26:O32" si="7">E26-I26</f>
        <v>216</v>
      </c>
      <c r="N26" s="547">
        <f t="shared" si="7"/>
        <v>140</v>
      </c>
      <c r="O26" s="547">
        <f t="shared" si="7"/>
        <v>164</v>
      </c>
      <c r="P26" s="849" t="s">
        <v>1041</v>
      </c>
    </row>
    <row r="27" spans="1:17" s="46" customFormat="1" ht="20.149999999999999" customHeight="1">
      <c r="A27" s="1235">
        <v>13</v>
      </c>
      <c r="B27" s="548" t="s">
        <v>1061</v>
      </c>
      <c r="C27" s="540" t="s">
        <v>1062</v>
      </c>
      <c r="D27" s="547">
        <f t="shared" si="5"/>
        <v>650</v>
      </c>
      <c r="E27" s="547">
        <v>270</v>
      </c>
      <c r="F27" s="547">
        <v>175</v>
      </c>
      <c r="G27" s="547">
        <v>205</v>
      </c>
      <c r="H27" s="547">
        <f>SUM(I27+J27+K27)</f>
        <v>97.5</v>
      </c>
      <c r="I27" s="547">
        <f>E27*0.15</f>
        <v>40.5</v>
      </c>
      <c r="J27" s="547">
        <f>F27*0.15</f>
        <v>26.25</v>
      </c>
      <c r="K27" s="547">
        <f>G27*0.15</f>
        <v>30.75</v>
      </c>
      <c r="L27" s="547">
        <f>SUM(M27:O27)</f>
        <v>552.5</v>
      </c>
      <c r="M27" s="547">
        <f t="shared" si="7"/>
        <v>229.5</v>
      </c>
      <c r="N27" s="547">
        <f t="shared" si="7"/>
        <v>148.75</v>
      </c>
      <c r="O27" s="547">
        <f t="shared" si="7"/>
        <v>174.25</v>
      </c>
      <c r="P27" s="849" t="s">
        <v>1063</v>
      </c>
    </row>
    <row r="28" spans="1:17" s="46" customFormat="1" ht="20.149999999999999" customHeight="1">
      <c r="A28" s="1235">
        <v>14</v>
      </c>
      <c r="B28" s="548" t="s">
        <v>1064</v>
      </c>
      <c r="C28" s="540" t="s">
        <v>1040</v>
      </c>
      <c r="D28" s="547">
        <f t="shared" si="5"/>
        <v>650</v>
      </c>
      <c r="E28" s="547">
        <v>270</v>
      </c>
      <c r="F28" s="547">
        <v>165</v>
      </c>
      <c r="G28" s="547">
        <v>215</v>
      </c>
      <c r="H28" s="544">
        <v>0</v>
      </c>
      <c r="I28" s="544">
        <v>0</v>
      </c>
      <c r="J28" s="544">
        <v>0</v>
      </c>
      <c r="K28" s="544">
        <v>0</v>
      </c>
      <c r="L28" s="547">
        <f t="shared" ref="L28:L32" si="8">SUM(M28:O28)</f>
        <v>650</v>
      </c>
      <c r="M28" s="547">
        <f t="shared" si="7"/>
        <v>270</v>
      </c>
      <c r="N28" s="547">
        <f t="shared" si="7"/>
        <v>165</v>
      </c>
      <c r="O28" s="547">
        <f t="shared" si="7"/>
        <v>215</v>
      </c>
      <c r="P28" s="849"/>
    </row>
    <row r="29" spans="1:17" s="46" customFormat="1" ht="20.149999999999999" customHeight="1">
      <c r="A29" s="1235">
        <v>15</v>
      </c>
      <c r="B29" s="543" t="s">
        <v>1065</v>
      </c>
      <c r="C29" s="540" t="s">
        <v>1051</v>
      </c>
      <c r="D29" s="547">
        <f t="shared" si="5"/>
        <v>650</v>
      </c>
      <c r="E29" s="547">
        <v>270</v>
      </c>
      <c r="F29" s="547">
        <v>165</v>
      </c>
      <c r="G29" s="547">
        <v>215</v>
      </c>
      <c r="H29" s="547">
        <f t="shared" si="6"/>
        <v>485</v>
      </c>
      <c r="I29" s="547">
        <v>270</v>
      </c>
      <c r="J29" s="545">
        <v>0</v>
      </c>
      <c r="K29" s="547">
        <v>215</v>
      </c>
      <c r="L29" s="547">
        <f t="shared" si="8"/>
        <v>165</v>
      </c>
      <c r="M29" s="545">
        <v>0</v>
      </c>
      <c r="N29" s="547">
        <f t="shared" si="7"/>
        <v>165</v>
      </c>
      <c r="O29" s="547">
        <f t="shared" si="7"/>
        <v>0</v>
      </c>
      <c r="P29" s="849" t="s">
        <v>1058</v>
      </c>
    </row>
    <row r="30" spans="1:17" s="46" customFormat="1" ht="20.149999999999999" customHeight="1">
      <c r="A30" s="1235">
        <v>16</v>
      </c>
      <c r="B30" s="543" t="s">
        <v>1066</v>
      </c>
      <c r="C30" s="540" t="s">
        <v>1051</v>
      </c>
      <c r="D30" s="547">
        <f t="shared" si="5"/>
        <v>650</v>
      </c>
      <c r="E30" s="547">
        <v>270</v>
      </c>
      <c r="F30" s="547">
        <v>165</v>
      </c>
      <c r="G30" s="547">
        <v>215</v>
      </c>
      <c r="H30" s="544">
        <v>0</v>
      </c>
      <c r="I30" s="544">
        <v>0</v>
      </c>
      <c r="J30" s="544">
        <v>0</v>
      </c>
      <c r="K30" s="544">
        <v>0</v>
      </c>
      <c r="L30" s="547">
        <f t="shared" si="8"/>
        <v>650</v>
      </c>
      <c r="M30" s="547">
        <f t="shared" si="7"/>
        <v>270</v>
      </c>
      <c r="N30" s="547">
        <f t="shared" si="7"/>
        <v>165</v>
      </c>
      <c r="O30" s="547">
        <f t="shared" si="7"/>
        <v>215</v>
      </c>
      <c r="P30" s="849"/>
    </row>
    <row r="31" spans="1:17" s="46" customFormat="1" ht="20.149999999999999" customHeight="1">
      <c r="A31" s="1235">
        <v>17</v>
      </c>
      <c r="B31" s="543" t="s">
        <v>1067</v>
      </c>
      <c r="C31" s="540" t="s">
        <v>1051</v>
      </c>
      <c r="D31" s="547">
        <f t="shared" si="5"/>
        <v>650</v>
      </c>
      <c r="E31" s="547">
        <v>270</v>
      </c>
      <c r="F31" s="547">
        <v>165</v>
      </c>
      <c r="G31" s="547">
        <v>215</v>
      </c>
      <c r="H31" s="544">
        <v>0</v>
      </c>
      <c r="I31" s="544">
        <v>0</v>
      </c>
      <c r="J31" s="544">
        <v>0</v>
      </c>
      <c r="K31" s="544">
        <v>0</v>
      </c>
      <c r="L31" s="547">
        <f t="shared" si="8"/>
        <v>650</v>
      </c>
      <c r="M31" s="547">
        <f t="shared" si="7"/>
        <v>270</v>
      </c>
      <c r="N31" s="547">
        <f t="shared" si="7"/>
        <v>165</v>
      </c>
      <c r="O31" s="547">
        <f t="shared" si="7"/>
        <v>215</v>
      </c>
      <c r="P31" s="849"/>
    </row>
    <row r="32" spans="1:17" s="46" customFormat="1" ht="20.149999999999999" customHeight="1">
      <c r="A32" s="1235">
        <v>18</v>
      </c>
      <c r="B32" s="543" t="s">
        <v>1068</v>
      </c>
      <c r="C32" s="540" t="s">
        <v>1069</v>
      </c>
      <c r="D32" s="547">
        <f t="shared" si="5"/>
        <v>650</v>
      </c>
      <c r="E32" s="547">
        <v>270</v>
      </c>
      <c r="F32" s="547">
        <v>165</v>
      </c>
      <c r="G32" s="547">
        <v>215</v>
      </c>
      <c r="H32" s="547">
        <f t="shared" si="6"/>
        <v>97.5</v>
      </c>
      <c r="I32" s="547">
        <f>E32*0.15</f>
        <v>40.5</v>
      </c>
      <c r="J32" s="547">
        <f>F32*0.15</f>
        <v>24.75</v>
      </c>
      <c r="K32" s="547">
        <f>G32*0.15</f>
        <v>32.25</v>
      </c>
      <c r="L32" s="547">
        <f t="shared" si="8"/>
        <v>552.5</v>
      </c>
      <c r="M32" s="547">
        <f t="shared" si="7"/>
        <v>229.5</v>
      </c>
      <c r="N32" s="547">
        <f t="shared" si="7"/>
        <v>140.25</v>
      </c>
      <c r="O32" s="547">
        <f t="shared" si="7"/>
        <v>182.75</v>
      </c>
      <c r="P32" s="849" t="s">
        <v>1063</v>
      </c>
    </row>
    <row r="33" spans="1:16" s="46" customFormat="1" ht="20.149999999999999" customHeight="1">
      <c r="A33" s="851" t="s">
        <v>41</v>
      </c>
      <c r="B33" s="550" t="s">
        <v>878</v>
      </c>
      <c r="C33" s="549"/>
      <c r="D33" s="551">
        <f>SUM(D34:D49)</f>
        <v>10400</v>
      </c>
      <c r="E33" s="551">
        <f t="shared" ref="E33:L33" si="9">SUM(E34:E49)</f>
        <v>4250</v>
      </c>
      <c r="F33" s="551">
        <f t="shared" si="9"/>
        <v>2900</v>
      </c>
      <c r="G33" s="551">
        <f t="shared" si="9"/>
        <v>3250</v>
      </c>
      <c r="H33" s="551">
        <f t="shared" si="9"/>
        <v>1581</v>
      </c>
      <c r="I33" s="551">
        <f t="shared" si="9"/>
        <v>646.5</v>
      </c>
      <c r="J33" s="551">
        <f t="shared" si="9"/>
        <v>485.75</v>
      </c>
      <c r="K33" s="551">
        <f t="shared" si="9"/>
        <v>535.75</v>
      </c>
      <c r="L33" s="551">
        <f t="shared" si="9"/>
        <v>8732</v>
      </c>
      <c r="M33" s="551">
        <f>E33-I33</f>
        <v>3603.5</v>
      </c>
      <c r="N33" s="551">
        <f>F33-J33</f>
        <v>2414.25</v>
      </c>
      <c r="O33" s="551">
        <f>G33-K33</f>
        <v>2714.25</v>
      </c>
      <c r="P33" s="812"/>
    </row>
    <row r="34" spans="1:16" s="46" customFormat="1" ht="20.149999999999999" customHeight="1">
      <c r="A34" s="852">
        <v>1</v>
      </c>
      <c r="B34" s="554" t="s">
        <v>1008</v>
      </c>
      <c r="C34" s="553" t="s">
        <v>1009</v>
      </c>
      <c r="D34" s="555">
        <f>E34+F34+G34</f>
        <v>650</v>
      </c>
      <c r="E34" s="555">
        <v>270</v>
      </c>
      <c r="F34" s="555">
        <v>200</v>
      </c>
      <c r="G34" s="555">
        <v>180</v>
      </c>
      <c r="H34" s="555">
        <v>0</v>
      </c>
      <c r="I34" s="555">
        <v>0</v>
      </c>
      <c r="J34" s="555">
        <v>0</v>
      </c>
      <c r="K34" s="555">
        <v>0</v>
      </c>
      <c r="L34" s="555">
        <f>M34+N34+O34</f>
        <v>650</v>
      </c>
      <c r="M34" s="555">
        <f t="shared" ref="M34:O49" si="10">E34-I34</f>
        <v>270</v>
      </c>
      <c r="N34" s="555">
        <f t="shared" si="10"/>
        <v>200</v>
      </c>
      <c r="O34" s="555">
        <f t="shared" si="10"/>
        <v>180</v>
      </c>
      <c r="P34" s="853"/>
    </row>
    <row r="35" spans="1:16" s="372" customFormat="1" ht="20.149999999999999" customHeight="1">
      <c r="A35" s="852">
        <v>2</v>
      </c>
      <c r="B35" s="554" t="s">
        <v>1010</v>
      </c>
      <c r="C35" s="553" t="s">
        <v>1011</v>
      </c>
      <c r="D35" s="555">
        <f t="shared" ref="D35:D49" si="11">E35+F35+G35</f>
        <v>650</v>
      </c>
      <c r="E35" s="555">
        <v>270</v>
      </c>
      <c r="F35" s="555">
        <v>175</v>
      </c>
      <c r="G35" s="555">
        <v>205</v>
      </c>
      <c r="H35" s="555">
        <v>0</v>
      </c>
      <c r="I35" s="555">
        <v>0</v>
      </c>
      <c r="J35" s="555">
        <v>0</v>
      </c>
      <c r="K35" s="555">
        <v>0</v>
      </c>
      <c r="L35" s="555">
        <f>M35+N35+O35</f>
        <v>650</v>
      </c>
      <c r="M35" s="555">
        <f t="shared" si="10"/>
        <v>270</v>
      </c>
      <c r="N35" s="555">
        <f t="shared" si="10"/>
        <v>175</v>
      </c>
      <c r="O35" s="555">
        <f t="shared" si="10"/>
        <v>205</v>
      </c>
      <c r="P35" s="853"/>
    </row>
    <row r="36" spans="1:16" s="46" customFormat="1" ht="20.149999999999999" customHeight="1">
      <c r="A36" s="852">
        <v>3</v>
      </c>
      <c r="B36" s="554" t="s">
        <v>1012</v>
      </c>
      <c r="C36" s="553" t="s">
        <v>1011</v>
      </c>
      <c r="D36" s="555">
        <f t="shared" si="11"/>
        <v>650</v>
      </c>
      <c r="E36" s="555">
        <v>200</v>
      </c>
      <c r="F36" s="555">
        <v>235</v>
      </c>
      <c r="G36" s="555">
        <v>215</v>
      </c>
      <c r="H36" s="555">
        <f>I36+J36+K36</f>
        <v>402</v>
      </c>
      <c r="I36" s="555">
        <f>E36*0.6</f>
        <v>120</v>
      </c>
      <c r="J36" s="555">
        <f>F36*0.6</f>
        <v>141</v>
      </c>
      <c r="K36" s="555">
        <f>F36*0.6</f>
        <v>141</v>
      </c>
      <c r="L36" s="555">
        <f t="shared" ref="L36:L41" si="12">M36+N36+O36</f>
        <v>248</v>
      </c>
      <c r="M36" s="555">
        <f t="shared" si="10"/>
        <v>80</v>
      </c>
      <c r="N36" s="555">
        <f t="shared" si="10"/>
        <v>94</v>
      </c>
      <c r="O36" s="555">
        <f t="shared" si="10"/>
        <v>74</v>
      </c>
      <c r="P36" s="853" t="s">
        <v>1013</v>
      </c>
    </row>
    <row r="37" spans="1:16" s="46" customFormat="1" ht="20.149999999999999" customHeight="1">
      <c r="A37" s="852">
        <v>4</v>
      </c>
      <c r="B37" s="554" t="s">
        <v>1014</v>
      </c>
      <c r="C37" s="553" t="s">
        <v>1011</v>
      </c>
      <c r="D37" s="555">
        <f t="shared" si="11"/>
        <v>650</v>
      </c>
      <c r="E37" s="555">
        <v>270</v>
      </c>
      <c r="F37" s="555">
        <v>175</v>
      </c>
      <c r="G37" s="555">
        <v>205</v>
      </c>
      <c r="H37" s="555">
        <v>0</v>
      </c>
      <c r="I37" s="555">
        <v>0</v>
      </c>
      <c r="J37" s="555">
        <v>0</v>
      </c>
      <c r="K37" s="555">
        <v>0</v>
      </c>
      <c r="L37" s="555">
        <f t="shared" si="12"/>
        <v>650</v>
      </c>
      <c r="M37" s="555">
        <f t="shared" si="10"/>
        <v>270</v>
      </c>
      <c r="N37" s="555">
        <f t="shared" si="10"/>
        <v>175</v>
      </c>
      <c r="O37" s="555">
        <f t="shared" si="10"/>
        <v>205</v>
      </c>
      <c r="P37" s="853"/>
    </row>
    <row r="38" spans="1:16" s="46" customFormat="1" ht="20.149999999999999" customHeight="1">
      <c r="A38" s="852">
        <v>5</v>
      </c>
      <c r="B38" s="554" t="s">
        <v>1015</v>
      </c>
      <c r="C38" s="553" t="s">
        <v>1011</v>
      </c>
      <c r="D38" s="555">
        <f t="shared" si="11"/>
        <v>650</v>
      </c>
      <c r="E38" s="555">
        <v>270</v>
      </c>
      <c r="F38" s="555">
        <v>175</v>
      </c>
      <c r="G38" s="555">
        <v>205</v>
      </c>
      <c r="H38" s="555">
        <v>0</v>
      </c>
      <c r="I38" s="555">
        <v>0</v>
      </c>
      <c r="J38" s="555">
        <v>0</v>
      </c>
      <c r="K38" s="555">
        <v>0</v>
      </c>
      <c r="L38" s="555">
        <f t="shared" si="12"/>
        <v>650</v>
      </c>
      <c r="M38" s="555">
        <f t="shared" si="10"/>
        <v>270</v>
      </c>
      <c r="N38" s="555">
        <f t="shared" si="10"/>
        <v>175</v>
      </c>
      <c r="O38" s="555">
        <f t="shared" si="10"/>
        <v>205</v>
      </c>
      <c r="P38" s="1234" t="s">
        <v>1016</v>
      </c>
    </row>
    <row r="39" spans="1:16" s="46" customFormat="1" ht="20.149999999999999" customHeight="1">
      <c r="A39" s="852">
        <v>6</v>
      </c>
      <c r="B39" s="554" t="s">
        <v>1017</v>
      </c>
      <c r="C39" s="553" t="s">
        <v>1011</v>
      </c>
      <c r="D39" s="555">
        <f t="shared" si="11"/>
        <v>650</v>
      </c>
      <c r="E39" s="555">
        <v>270</v>
      </c>
      <c r="F39" s="555">
        <v>175</v>
      </c>
      <c r="G39" s="555">
        <v>205</v>
      </c>
      <c r="H39" s="555">
        <v>303</v>
      </c>
      <c r="I39" s="555">
        <f>E39*0.6</f>
        <v>162</v>
      </c>
      <c r="J39" s="555">
        <f>175*0.6</f>
        <v>105</v>
      </c>
      <c r="K39" s="555">
        <f>205*0.6</f>
        <v>123</v>
      </c>
      <c r="L39" s="555">
        <f t="shared" si="12"/>
        <v>260</v>
      </c>
      <c r="M39" s="555">
        <f t="shared" si="10"/>
        <v>108</v>
      </c>
      <c r="N39" s="555">
        <f t="shared" si="10"/>
        <v>70</v>
      </c>
      <c r="O39" s="555">
        <f t="shared" si="10"/>
        <v>82</v>
      </c>
      <c r="P39" s="853" t="s">
        <v>1013</v>
      </c>
    </row>
    <row r="40" spans="1:16" s="46" customFormat="1" ht="20.149999999999999" customHeight="1">
      <c r="A40" s="852">
        <v>7</v>
      </c>
      <c r="B40" s="557" t="s">
        <v>1018</v>
      </c>
      <c r="C40" s="553" t="s">
        <v>1011</v>
      </c>
      <c r="D40" s="555">
        <f t="shared" si="11"/>
        <v>650</v>
      </c>
      <c r="E40" s="555">
        <v>270</v>
      </c>
      <c r="F40" s="555">
        <v>175</v>
      </c>
      <c r="G40" s="555">
        <v>205</v>
      </c>
      <c r="H40" s="555">
        <f t="shared" ref="H40:H45" si="13">I40+J40+K40</f>
        <v>0</v>
      </c>
      <c r="I40" s="555">
        <v>0</v>
      </c>
      <c r="J40" s="555">
        <v>0</v>
      </c>
      <c r="K40" s="555">
        <v>0</v>
      </c>
      <c r="L40" s="555">
        <f t="shared" si="12"/>
        <v>650</v>
      </c>
      <c r="M40" s="555">
        <f t="shared" si="10"/>
        <v>270</v>
      </c>
      <c r="N40" s="555">
        <f t="shared" si="10"/>
        <v>175</v>
      </c>
      <c r="O40" s="555">
        <f t="shared" si="10"/>
        <v>205</v>
      </c>
      <c r="P40" s="854"/>
    </row>
    <row r="41" spans="1:16" s="46" customFormat="1" ht="20.149999999999999" customHeight="1">
      <c r="A41" s="852">
        <v>8</v>
      </c>
      <c r="B41" s="557" t="s">
        <v>1019</v>
      </c>
      <c r="C41" s="553" t="s">
        <v>1011</v>
      </c>
      <c r="D41" s="555">
        <f t="shared" si="11"/>
        <v>650</v>
      </c>
      <c r="E41" s="555">
        <v>270</v>
      </c>
      <c r="F41" s="555">
        <v>175</v>
      </c>
      <c r="G41" s="555">
        <v>205</v>
      </c>
      <c r="H41" s="555">
        <f>I41+J41+K41</f>
        <v>97.5</v>
      </c>
      <c r="I41" s="555">
        <f>E41*0.15</f>
        <v>40.5</v>
      </c>
      <c r="J41" s="555">
        <f>F41*0.15</f>
        <v>26.25</v>
      </c>
      <c r="K41" s="555">
        <f>205*0.15</f>
        <v>30.75</v>
      </c>
      <c r="L41" s="555">
        <f t="shared" si="12"/>
        <v>552.5</v>
      </c>
      <c r="M41" s="555">
        <f t="shared" si="10"/>
        <v>229.5</v>
      </c>
      <c r="N41" s="555">
        <f t="shared" si="10"/>
        <v>148.75</v>
      </c>
      <c r="O41" s="555">
        <f t="shared" si="10"/>
        <v>174.25</v>
      </c>
      <c r="P41" s="853" t="s">
        <v>1020</v>
      </c>
    </row>
    <row r="42" spans="1:16" s="46" customFormat="1" ht="20.149999999999999" customHeight="1">
      <c r="A42" s="852">
        <v>9</v>
      </c>
      <c r="B42" s="557" t="s">
        <v>1021</v>
      </c>
      <c r="C42" s="553" t="s">
        <v>1009</v>
      </c>
      <c r="D42" s="555">
        <f t="shared" si="11"/>
        <v>650</v>
      </c>
      <c r="E42" s="555">
        <v>270</v>
      </c>
      <c r="F42" s="555">
        <v>200</v>
      </c>
      <c r="G42" s="555">
        <v>180</v>
      </c>
      <c r="H42" s="555">
        <f t="shared" si="13"/>
        <v>130</v>
      </c>
      <c r="I42" s="555">
        <f>E42*0.2</f>
        <v>54</v>
      </c>
      <c r="J42" s="555">
        <f>F42*0.2</f>
        <v>40</v>
      </c>
      <c r="K42" s="555">
        <f>G42*0.2</f>
        <v>36</v>
      </c>
      <c r="L42" s="555">
        <f>M42+N42+O42</f>
        <v>520</v>
      </c>
      <c r="M42" s="555">
        <f t="shared" si="10"/>
        <v>216</v>
      </c>
      <c r="N42" s="555">
        <f t="shared" si="10"/>
        <v>160</v>
      </c>
      <c r="O42" s="555">
        <f t="shared" si="10"/>
        <v>144</v>
      </c>
      <c r="P42" s="853" t="s">
        <v>1022</v>
      </c>
    </row>
    <row r="43" spans="1:16" s="46" customFormat="1" ht="20.149999999999999" customHeight="1">
      <c r="A43" s="852">
        <v>10</v>
      </c>
      <c r="B43" s="557" t="s">
        <v>1023</v>
      </c>
      <c r="C43" s="553" t="s">
        <v>1011</v>
      </c>
      <c r="D43" s="555">
        <f t="shared" si="11"/>
        <v>650</v>
      </c>
      <c r="E43" s="555">
        <v>270</v>
      </c>
      <c r="F43" s="555">
        <v>175</v>
      </c>
      <c r="G43" s="555">
        <v>205</v>
      </c>
      <c r="H43" s="555">
        <f t="shared" si="13"/>
        <v>390</v>
      </c>
      <c r="I43" s="555">
        <f>E43*0.6</f>
        <v>162</v>
      </c>
      <c r="J43" s="555">
        <f>175*0.6</f>
        <v>105</v>
      </c>
      <c r="K43" s="555">
        <f>205*0.6</f>
        <v>123</v>
      </c>
      <c r="L43" s="555">
        <f t="shared" ref="L43:L45" si="14">M43+N43+O43</f>
        <v>260</v>
      </c>
      <c r="M43" s="555">
        <f t="shared" si="10"/>
        <v>108</v>
      </c>
      <c r="N43" s="555">
        <f t="shared" si="10"/>
        <v>70</v>
      </c>
      <c r="O43" s="555">
        <f t="shared" si="10"/>
        <v>82</v>
      </c>
      <c r="P43" s="854" t="s">
        <v>1013</v>
      </c>
    </row>
    <row r="44" spans="1:16" s="46" customFormat="1" ht="20.149999999999999" customHeight="1">
      <c r="A44" s="852">
        <v>11</v>
      </c>
      <c r="B44" s="554" t="s">
        <v>1024</v>
      </c>
      <c r="C44" s="553" t="s">
        <v>1011</v>
      </c>
      <c r="D44" s="555">
        <f t="shared" si="11"/>
        <v>650</v>
      </c>
      <c r="E44" s="555">
        <v>270</v>
      </c>
      <c r="F44" s="555">
        <v>175</v>
      </c>
      <c r="G44" s="555">
        <v>205</v>
      </c>
      <c r="H44" s="555">
        <f t="shared" si="13"/>
        <v>97.5</v>
      </c>
      <c r="I44" s="555">
        <f>E44*0.15</f>
        <v>40.5</v>
      </c>
      <c r="J44" s="555">
        <f>F44*0.15</f>
        <v>26.25</v>
      </c>
      <c r="K44" s="555">
        <f>205*0.15</f>
        <v>30.75</v>
      </c>
      <c r="L44" s="555">
        <f t="shared" si="14"/>
        <v>552.5</v>
      </c>
      <c r="M44" s="555">
        <f t="shared" si="10"/>
        <v>229.5</v>
      </c>
      <c r="N44" s="555">
        <f t="shared" si="10"/>
        <v>148.75</v>
      </c>
      <c r="O44" s="555">
        <f t="shared" si="10"/>
        <v>174.25</v>
      </c>
      <c r="P44" s="853" t="s">
        <v>1025</v>
      </c>
    </row>
    <row r="45" spans="1:16" s="46" customFormat="1" ht="20.149999999999999" customHeight="1">
      <c r="A45" s="855">
        <v>12</v>
      </c>
      <c r="B45" s="548" t="s">
        <v>1026</v>
      </c>
      <c r="C45" s="540" t="s">
        <v>1011</v>
      </c>
      <c r="D45" s="555">
        <f t="shared" si="11"/>
        <v>650</v>
      </c>
      <c r="E45" s="555">
        <v>270</v>
      </c>
      <c r="F45" s="555">
        <v>165</v>
      </c>
      <c r="G45" s="555">
        <v>215</v>
      </c>
      <c r="H45" s="555">
        <f t="shared" si="13"/>
        <v>96</v>
      </c>
      <c r="I45" s="555">
        <f>E45*0.15</f>
        <v>40.5</v>
      </c>
      <c r="J45" s="555">
        <f>F45*0.15</f>
        <v>24.75</v>
      </c>
      <c r="K45" s="555">
        <f>205*0.15</f>
        <v>30.75</v>
      </c>
      <c r="L45" s="555">
        <f t="shared" si="14"/>
        <v>554</v>
      </c>
      <c r="M45" s="555">
        <f t="shared" si="10"/>
        <v>229.5</v>
      </c>
      <c r="N45" s="555">
        <f t="shared" si="10"/>
        <v>140.25</v>
      </c>
      <c r="O45" s="555">
        <f t="shared" si="10"/>
        <v>184.25</v>
      </c>
      <c r="P45" s="811" t="s">
        <v>1027</v>
      </c>
    </row>
    <row r="46" spans="1:16" s="46" customFormat="1" ht="20.149999999999999" customHeight="1">
      <c r="A46" s="855">
        <v>13</v>
      </c>
      <c r="B46" s="548" t="s">
        <v>1028</v>
      </c>
      <c r="C46" s="540" t="s">
        <v>1011</v>
      </c>
      <c r="D46" s="555">
        <f t="shared" si="11"/>
        <v>650</v>
      </c>
      <c r="E46" s="555">
        <v>270</v>
      </c>
      <c r="F46" s="555">
        <v>175</v>
      </c>
      <c r="G46" s="555">
        <v>205</v>
      </c>
      <c r="H46" s="555">
        <f t="shared" ref="H46:K46" si="15">D46*0.1</f>
        <v>65</v>
      </c>
      <c r="I46" s="555">
        <f t="shared" si="15"/>
        <v>27</v>
      </c>
      <c r="J46" s="555">
        <f t="shared" si="15"/>
        <v>17.5</v>
      </c>
      <c r="K46" s="555">
        <f t="shared" si="15"/>
        <v>20.5</v>
      </c>
      <c r="L46" s="555">
        <f t="shared" ref="L46:O49" si="16">D46-H46</f>
        <v>585</v>
      </c>
      <c r="M46" s="555">
        <f t="shared" si="10"/>
        <v>243</v>
      </c>
      <c r="N46" s="555">
        <f t="shared" si="10"/>
        <v>157.5</v>
      </c>
      <c r="O46" s="555">
        <f t="shared" si="10"/>
        <v>184.5</v>
      </c>
      <c r="P46" s="856" t="s">
        <v>1029</v>
      </c>
    </row>
    <row r="47" spans="1:16" s="46" customFormat="1" ht="20.149999999999999" customHeight="1">
      <c r="A47" s="855">
        <v>14</v>
      </c>
      <c r="B47" s="548" t="s">
        <v>1030</v>
      </c>
      <c r="C47" s="553" t="s">
        <v>1011</v>
      </c>
      <c r="D47" s="555">
        <f t="shared" si="11"/>
        <v>650</v>
      </c>
      <c r="E47" s="555">
        <v>270</v>
      </c>
      <c r="F47" s="555">
        <v>175</v>
      </c>
      <c r="G47" s="555">
        <v>205</v>
      </c>
      <c r="H47" s="555">
        <f t="shared" ref="H47:H49" si="17">I47+J47+K47</f>
        <v>0</v>
      </c>
      <c r="I47" s="555">
        <v>0</v>
      </c>
      <c r="J47" s="555">
        <v>0</v>
      </c>
      <c r="K47" s="555">
        <v>0</v>
      </c>
      <c r="L47" s="555">
        <f t="shared" si="16"/>
        <v>650</v>
      </c>
      <c r="M47" s="555">
        <f t="shared" si="10"/>
        <v>270</v>
      </c>
      <c r="N47" s="555">
        <f t="shared" si="10"/>
        <v>175</v>
      </c>
      <c r="O47" s="555">
        <f t="shared" si="10"/>
        <v>205</v>
      </c>
      <c r="P47" s="811"/>
    </row>
    <row r="48" spans="1:16" s="46" customFormat="1" ht="20.149999999999999" customHeight="1">
      <c r="A48" s="855">
        <v>15</v>
      </c>
      <c r="B48" s="548" t="s">
        <v>1031</v>
      </c>
      <c r="C48" s="553" t="s">
        <v>1011</v>
      </c>
      <c r="D48" s="555">
        <f t="shared" si="11"/>
        <v>650</v>
      </c>
      <c r="E48" s="555">
        <v>270</v>
      </c>
      <c r="F48" s="555">
        <v>175</v>
      </c>
      <c r="G48" s="555">
        <v>205</v>
      </c>
      <c r="H48" s="555">
        <f t="shared" si="17"/>
        <v>0</v>
      </c>
      <c r="I48" s="555">
        <v>0</v>
      </c>
      <c r="J48" s="555">
        <v>0</v>
      </c>
      <c r="K48" s="555">
        <v>0</v>
      </c>
      <c r="L48" s="555">
        <f t="shared" si="16"/>
        <v>650</v>
      </c>
      <c r="M48" s="555">
        <f t="shared" si="10"/>
        <v>270</v>
      </c>
      <c r="N48" s="555">
        <f t="shared" si="10"/>
        <v>175</v>
      </c>
      <c r="O48" s="555">
        <f t="shared" si="10"/>
        <v>205</v>
      </c>
      <c r="P48" s="811"/>
    </row>
    <row r="49" spans="1:17" s="46" customFormat="1" ht="20.149999999999999" customHeight="1">
      <c r="A49" s="855">
        <v>16</v>
      </c>
      <c r="B49" s="548" t="s">
        <v>1032</v>
      </c>
      <c r="C49" s="553" t="s">
        <v>1011</v>
      </c>
      <c r="D49" s="555">
        <f t="shared" si="11"/>
        <v>650</v>
      </c>
      <c r="E49" s="555">
        <v>270</v>
      </c>
      <c r="F49" s="555">
        <v>175</v>
      </c>
      <c r="G49" s="555">
        <v>205</v>
      </c>
      <c r="H49" s="555">
        <f t="shared" si="17"/>
        <v>0</v>
      </c>
      <c r="I49" s="555">
        <v>0</v>
      </c>
      <c r="J49" s="555">
        <v>0</v>
      </c>
      <c r="K49" s="555">
        <v>0</v>
      </c>
      <c r="L49" s="555">
        <f t="shared" si="16"/>
        <v>650</v>
      </c>
      <c r="M49" s="555">
        <f t="shared" si="10"/>
        <v>270</v>
      </c>
      <c r="N49" s="555">
        <f t="shared" si="10"/>
        <v>175</v>
      </c>
      <c r="O49" s="555">
        <f t="shared" si="16"/>
        <v>205</v>
      </c>
      <c r="P49" s="811"/>
    </row>
    <row r="50" spans="1:17" s="46" customFormat="1" ht="20.149999999999999" customHeight="1">
      <c r="A50" s="851" t="s">
        <v>113</v>
      </c>
      <c r="B50" s="550" t="s">
        <v>879</v>
      </c>
      <c r="C50" s="549"/>
      <c r="D50" s="551">
        <f>SUM(D51:D64)</f>
        <v>9100</v>
      </c>
      <c r="E50" s="551">
        <f t="shared" ref="E50:L50" si="18">SUM(E51:E64)</f>
        <v>3780</v>
      </c>
      <c r="F50" s="551">
        <f t="shared" si="18"/>
        <v>2695</v>
      </c>
      <c r="G50" s="551">
        <f t="shared" si="18"/>
        <v>2625</v>
      </c>
      <c r="H50" s="551">
        <f t="shared" si="18"/>
        <v>1951.75</v>
      </c>
      <c r="I50" s="551">
        <f t="shared" si="18"/>
        <v>835.5</v>
      </c>
      <c r="J50" s="551">
        <f t="shared" si="18"/>
        <v>502.5</v>
      </c>
      <c r="K50" s="551">
        <f t="shared" si="18"/>
        <v>538.75</v>
      </c>
      <c r="L50" s="551">
        <f t="shared" si="18"/>
        <v>5848.25</v>
      </c>
      <c r="M50" s="551">
        <f>E50-I50</f>
        <v>2944.5</v>
      </c>
      <c r="N50" s="551">
        <f>F50-J50</f>
        <v>2192.5</v>
      </c>
      <c r="O50" s="551">
        <f>G50-K50</f>
        <v>2086.25</v>
      </c>
      <c r="P50" s="812"/>
    </row>
    <row r="51" spans="1:17" s="46" customFormat="1" ht="20.149999999999999" customHeight="1">
      <c r="A51" s="852">
        <v>1</v>
      </c>
      <c r="B51" s="554" t="s">
        <v>1070</v>
      </c>
      <c r="C51" s="540" t="s">
        <v>1071</v>
      </c>
      <c r="D51" s="560">
        <f t="shared" ref="D51" si="19">SUM(E51:G51)</f>
        <v>650</v>
      </c>
      <c r="E51" s="561">
        <v>270</v>
      </c>
      <c r="F51" s="561">
        <v>260</v>
      </c>
      <c r="G51" s="561">
        <v>120</v>
      </c>
      <c r="H51" s="561">
        <f t="shared" ref="H51" si="20">SUM(I51:K51)</f>
        <v>195</v>
      </c>
      <c r="I51" s="562">
        <v>81</v>
      </c>
      <c r="J51" s="562">
        <v>78</v>
      </c>
      <c r="K51" s="562">
        <v>36</v>
      </c>
      <c r="L51" s="561">
        <f t="shared" ref="L51" si="21">SUM(M51:O51)</f>
        <v>455</v>
      </c>
      <c r="M51" s="561">
        <v>189</v>
      </c>
      <c r="N51" s="561">
        <v>182</v>
      </c>
      <c r="O51" s="561">
        <v>84</v>
      </c>
      <c r="P51" s="857" t="s">
        <v>1072</v>
      </c>
    </row>
    <row r="52" spans="1:17" s="372" customFormat="1" ht="20.149999999999999" customHeight="1">
      <c r="A52" s="858">
        <v>2</v>
      </c>
      <c r="B52" s="548" t="s">
        <v>1073</v>
      </c>
      <c r="C52" s="563" t="s">
        <v>1074</v>
      </c>
      <c r="D52" s="564">
        <v>650</v>
      </c>
      <c r="E52" s="561">
        <v>270</v>
      </c>
      <c r="F52" s="561">
        <v>220</v>
      </c>
      <c r="G52" s="561">
        <v>160</v>
      </c>
      <c r="H52" s="561">
        <v>130</v>
      </c>
      <c r="I52" s="561">
        <v>54</v>
      </c>
      <c r="J52" s="561">
        <v>44</v>
      </c>
      <c r="K52" s="561">
        <v>32</v>
      </c>
      <c r="L52" s="561">
        <v>520</v>
      </c>
      <c r="M52" s="561">
        <v>216</v>
      </c>
      <c r="N52" s="561">
        <v>176</v>
      </c>
      <c r="O52" s="561">
        <v>128</v>
      </c>
      <c r="P52" s="859" t="s">
        <v>1075</v>
      </c>
      <c r="Q52" s="46"/>
    </row>
    <row r="53" spans="1:17" s="46" customFormat="1" ht="20.149999999999999" customHeight="1">
      <c r="A53" s="852">
        <v>3</v>
      </c>
      <c r="B53" s="548" t="s">
        <v>1076</v>
      </c>
      <c r="C53" s="565" t="s">
        <v>1077</v>
      </c>
      <c r="D53" s="560">
        <v>650</v>
      </c>
      <c r="E53" s="561">
        <v>270</v>
      </c>
      <c r="F53" s="561">
        <v>220</v>
      </c>
      <c r="G53" s="561">
        <v>160</v>
      </c>
      <c r="H53" s="561">
        <v>325</v>
      </c>
      <c r="I53" s="561">
        <v>135</v>
      </c>
      <c r="J53" s="561">
        <v>110</v>
      </c>
      <c r="K53" s="561">
        <v>80</v>
      </c>
      <c r="L53" s="561">
        <f>SUM(M53:O53)</f>
        <v>325</v>
      </c>
      <c r="M53" s="561">
        <v>135</v>
      </c>
      <c r="N53" s="561">
        <v>110</v>
      </c>
      <c r="O53" s="561">
        <v>80</v>
      </c>
      <c r="P53" s="857" t="s">
        <v>1078</v>
      </c>
    </row>
    <row r="54" spans="1:17" s="46" customFormat="1" ht="20.149999999999999" customHeight="1">
      <c r="A54" s="807">
        <v>4</v>
      </c>
      <c r="B54" s="548" t="s">
        <v>1079</v>
      </c>
      <c r="C54" s="566" t="s">
        <v>1071</v>
      </c>
      <c r="D54" s="567">
        <f t="shared" ref="D54" si="22">SUM(E54:G54)</f>
        <v>650</v>
      </c>
      <c r="E54" s="568">
        <v>270</v>
      </c>
      <c r="F54" s="568">
        <v>260</v>
      </c>
      <c r="G54" s="568">
        <v>120</v>
      </c>
      <c r="H54" s="568">
        <f t="shared" ref="H54" si="23">SUM(I54:K54)</f>
        <v>0</v>
      </c>
      <c r="I54" s="568">
        <v>0</v>
      </c>
      <c r="J54" s="568">
        <v>0</v>
      </c>
      <c r="K54" s="568">
        <v>0</v>
      </c>
      <c r="L54" s="568">
        <f t="shared" ref="L54" si="24">SUM(M54:O54)</f>
        <v>650</v>
      </c>
      <c r="M54" s="568">
        <v>270</v>
      </c>
      <c r="N54" s="568">
        <v>260</v>
      </c>
      <c r="O54" s="568">
        <v>120</v>
      </c>
      <c r="P54" s="859"/>
    </row>
    <row r="55" spans="1:17" s="46" customFormat="1" ht="20.149999999999999" customHeight="1">
      <c r="A55" s="852">
        <v>5</v>
      </c>
      <c r="B55" s="548" t="s">
        <v>1080</v>
      </c>
      <c r="C55" s="563" t="s">
        <v>556</v>
      </c>
      <c r="D55" s="564">
        <v>650</v>
      </c>
      <c r="E55" s="561">
        <v>270</v>
      </c>
      <c r="F55" s="561">
        <v>175</v>
      </c>
      <c r="G55" s="561">
        <v>205</v>
      </c>
      <c r="H55" s="561" t="s">
        <v>1081</v>
      </c>
      <c r="I55" s="561" t="s">
        <v>1082</v>
      </c>
      <c r="J55" s="561" t="s">
        <v>1083</v>
      </c>
      <c r="K55" s="561" t="s">
        <v>1084</v>
      </c>
      <c r="L55" s="561" t="s">
        <v>1085</v>
      </c>
      <c r="M55" s="561" t="s">
        <v>1086</v>
      </c>
      <c r="N55" s="561" t="s">
        <v>1087</v>
      </c>
      <c r="O55" s="561" t="s">
        <v>1088</v>
      </c>
      <c r="P55" s="859" t="s">
        <v>1089</v>
      </c>
    </row>
    <row r="56" spans="1:17" s="46" customFormat="1" ht="20.149999999999999" customHeight="1">
      <c r="A56" s="807">
        <v>6</v>
      </c>
      <c r="B56" s="548" t="s">
        <v>1090</v>
      </c>
      <c r="C56" s="563" t="s">
        <v>555</v>
      </c>
      <c r="D56" s="564">
        <v>650</v>
      </c>
      <c r="E56" s="561">
        <v>270</v>
      </c>
      <c r="F56" s="561">
        <v>175</v>
      </c>
      <c r="G56" s="561">
        <v>205</v>
      </c>
      <c r="H56" s="561">
        <v>64</v>
      </c>
      <c r="I56" s="561">
        <v>27</v>
      </c>
      <c r="J56" s="561" t="s">
        <v>1091</v>
      </c>
      <c r="K56" s="561" t="s">
        <v>1092</v>
      </c>
      <c r="L56" s="561">
        <v>586</v>
      </c>
      <c r="M56" s="561">
        <v>243</v>
      </c>
      <c r="N56" s="561" t="s">
        <v>1093</v>
      </c>
      <c r="O56" s="561" t="s">
        <v>1094</v>
      </c>
      <c r="P56" s="859" t="s">
        <v>1095</v>
      </c>
    </row>
    <row r="57" spans="1:17" s="46" customFormat="1" ht="29.4" customHeight="1">
      <c r="A57" s="852">
        <v>7</v>
      </c>
      <c r="B57" s="548" t="s">
        <v>1096</v>
      </c>
      <c r="C57" s="563" t="s">
        <v>556</v>
      </c>
      <c r="D57" s="564">
        <v>650</v>
      </c>
      <c r="E57" s="561">
        <v>270</v>
      </c>
      <c r="F57" s="561">
        <v>165</v>
      </c>
      <c r="G57" s="561">
        <v>215</v>
      </c>
      <c r="H57" s="561">
        <v>483</v>
      </c>
      <c r="I57" s="561">
        <v>201</v>
      </c>
      <c r="J57" s="561">
        <v>122</v>
      </c>
      <c r="K57" s="561">
        <v>160</v>
      </c>
      <c r="L57" s="561">
        <v>167</v>
      </c>
      <c r="M57" s="561" t="s">
        <v>1097</v>
      </c>
      <c r="N57" s="561">
        <v>43</v>
      </c>
      <c r="O57" s="561">
        <v>55</v>
      </c>
      <c r="P57" s="860" t="s">
        <v>1098</v>
      </c>
    </row>
    <row r="58" spans="1:17" s="46" customFormat="1" ht="20.149999999999999" customHeight="1">
      <c r="A58" s="807">
        <v>8</v>
      </c>
      <c r="B58" s="548" t="s">
        <v>1099</v>
      </c>
      <c r="C58" s="563" t="s">
        <v>555</v>
      </c>
      <c r="D58" s="564">
        <v>650</v>
      </c>
      <c r="E58" s="561">
        <v>270</v>
      </c>
      <c r="F58" s="561">
        <v>175</v>
      </c>
      <c r="G58" s="561">
        <v>205</v>
      </c>
      <c r="H58" s="561" t="s">
        <v>1081</v>
      </c>
      <c r="I58" s="561" t="s">
        <v>1082</v>
      </c>
      <c r="J58" s="561" t="s">
        <v>1083</v>
      </c>
      <c r="K58" s="561" t="s">
        <v>1084</v>
      </c>
      <c r="L58" s="561" t="s">
        <v>1085</v>
      </c>
      <c r="M58" s="561" t="s">
        <v>1086</v>
      </c>
      <c r="N58" s="561" t="s">
        <v>1087</v>
      </c>
      <c r="O58" s="561" t="s">
        <v>1088</v>
      </c>
      <c r="P58" s="859" t="s">
        <v>1100</v>
      </c>
    </row>
    <row r="59" spans="1:17" s="46" customFormat="1" ht="20.149999999999999" customHeight="1">
      <c r="A59" s="852">
        <v>9</v>
      </c>
      <c r="B59" s="548" t="s">
        <v>1101</v>
      </c>
      <c r="C59" s="563" t="s">
        <v>1102</v>
      </c>
      <c r="D59" s="564">
        <v>650</v>
      </c>
      <c r="E59" s="561">
        <v>270</v>
      </c>
      <c r="F59" s="561">
        <v>165</v>
      </c>
      <c r="G59" s="561">
        <v>215</v>
      </c>
      <c r="H59" s="561">
        <v>65</v>
      </c>
      <c r="I59" s="561">
        <v>27</v>
      </c>
      <c r="J59" s="561" t="s">
        <v>1091</v>
      </c>
      <c r="K59" s="561" t="s">
        <v>1103</v>
      </c>
      <c r="L59" s="561">
        <v>585</v>
      </c>
      <c r="M59" s="561">
        <v>243</v>
      </c>
      <c r="N59" s="561" t="s">
        <v>1104</v>
      </c>
      <c r="O59" s="561" t="s">
        <v>1105</v>
      </c>
      <c r="P59" s="859" t="s">
        <v>1106</v>
      </c>
    </row>
    <row r="60" spans="1:17" s="46" customFormat="1" ht="20.149999999999999" customHeight="1">
      <c r="A60" s="807">
        <v>10</v>
      </c>
      <c r="B60" s="548" t="s">
        <v>1107</v>
      </c>
      <c r="C60" s="540" t="s">
        <v>1074</v>
      </c>
      <c r="D60" s="541">
        <f>SUM(E60:G60)</f>
        <v>650</v>
      </c>
      <c r="E60" s="541">
        <v>270</v>
      </c>
      <c r="F60" s="541">
        <v>220</v>
      </c>
      <c r="G60" s="541">
        <v>160</v>
      </c>
      <c r="H60" s="541">
        <f>SUM(I60:K60)</f>
        <v>195</v>
      </c>
      <c r="I60" s="541">
        <f>E60*0.3</f>
        <v>81</v>
      </c>
      <c r="J60" s="541">
        <f>F60*0.3</f>
        <v>66</v>
      </c>
      <c r="K60" s="541">
        <f>G60*0.3</f>
        <v>48</v>
      </c>
      <c r="L60" s="541">
        <f t="shared" ref="L60:O61" si="25">D60-H60</f>
        <v>455</v>
      </c>
      <c r="M60" s="541">
        <f t="shared" si="25"/>
        <v>189</v>
      </c>
      <c r="N60" s="541">
        <f t="shared" si="25"/>
        <v>154</v>
      </c>
      <c r="O60" s="541">
        <f t="shared" si="25"/>
        <v>112</v>
      </c>
      <c r="P60" s="811" t="s">
        <v>1108</v>
      </c>
    </row>
    <row r="61" spans="1:17" s="46" customFormat="1" ht="20.149999999999999" customHeight="1">
      <c r="A61" s="852">
        <v>11</v>
      </c>
      <c r="B61" s="548" t="s">
        <v>1109</v>
      </c>
      <c r="C61" s="540" t="s">
        <v>556</v>
      </c>
      <c r="D61" s="541">
        <f>SUM(E61:G61)</f>
        <v>650</v>
      </c>
      <c r="E61" s="541">
        <v>270</v>
      </c>
      <c r="F61" s="541">
        <v>165</v>
      </c>
      <c r="G61" s="541">
        <v>215</v>
      </c>
      <c r="H61" s="541">
        <f>SUM(I61:K61)</f>
        <v>494.75</v>
      </c>
      <c r="I61" s="541">
        <v>229.5</v>
      </c>
      <c r="J61" s="541">
        <v>82.5</v>
      </c>
      <c r="K61" s="541">
        <v>182.75</v>
      </c>
      <c r="L61" s="541">
        <f t="shared" si="25"/>
        <v>155.25</v>
      </c>
      <c r="M61" s="541">
        <f t="shared" si="25"/>
        <v>40.5</v>
      </c>
      <c r="N61" s="541">
        <f t="shared" si="25"/>
        <v>82.5</v>
      </c>
      <c r="O61" s="541">
        <f t="shared" si="25"/>
        <v>32.25</v>
      </c>
      <c r="P61" s="811" t="s">
        <v>1110</v>
      </c>
    </row>
    <row r="62" spans="1:17" s="46" customFormat="1" ht="20.149999999999999" customHeight="1">
      <c r="A62" s="807">
        <v>12</v>
      </c>
      <c r="B62" s="548" t="s">
        <v>1111</v>
      </c>
      <c r="C62" s="540" t="s">
        <v>556</v>
      </c>
      <c r="D62" s="541">
        <v>650</v>
      </c>
      <c r="E62" s="541">
        <v>270</v>
      </c>
      <c r="F62" s="541">
        <v>165</v>
      </c>
      <c r="G62" s="541">
        <v>215</v>
      </c>
      <c r="H62" s="541">
        <v>0</v>
      </c>
      <c r="I62" s="541">
        <v>0</v>
      </c>
      <c r="J62" s="541">
        <v>0</v>
      </c>
      <c r="K62" s="541">
        <v>0</v>
      </c>
      <c r="L62" s="541">
        <v>650</v>
      </c>
      <c r="M62" s="541">
        <v>270</v>
      </c>
      <c r="N62" s="541">
        <v>165</v>
      </c>
      <c r="O62" s="541">
        <v>215</v>
      </c>
      <c r="P62" s="811"/>
    </row>
    <row r="63" spans="1:17" s="46" customFormat="1" ht="20.149999999999999" customHeight="1">
      <c r="A63" s="852">
        <v>13</v>
      </c>
      <c r="B63" s="548" t="s">
        <v>1112</v>
      </c>
      <c r="C63" s="540" t="s">
        <v>556</v>
      </c>
      <c r="D63" s="541">
        <v>650</v>
      </c>
      <c r="E63" s="541">
        <v>270</v>
      </c>
      <c r="F63" s="541">
        <v>165</v>
      </c>
      <c r="G63" s="541">
        <v>215</v>
      </c>
      <c r="H63" s="541">
        <v>0</v>
      </c>
      <c r="I63" s="541">
        <v>0</v>
      </c>
      <c r="J63" s="541">
        <v>0</v>
      </c>
      <c r="K63" s="541">
        <v>0</v>
      </c>
      <c r="L63" s="541">
        <v>650</v>
      </c>
      <c r="M63" s="541">
        <v>270</v>
      </c>
      <c r="N63" s="541">
        <v>165</v>
      </c>
      <c r="O63" s="541">
        <v>215</v>
      </c>
      <c r="P63" s="811"/>
    </row>
    <row r="64" spans="1:17" s="46" customFormat="1" ht="20.149999999999999" customHeight="1">
      <c r="A64" s="858">
        <v>14</v>
      </c>
      <c r="B64" s="548" t="s">
        <v>1113</v>
      </c>
      <c r="C64" s="540" t="s">
        <v>556</v>
      </c>
      <c r="D64" s="541">
        <v>650</v>
      </c>
      <c r="E64" s="541">
        <v>270</v>
      </c>
      <c r="F64" s="541">
        <v>165</v>
      </c>
      <c r="G64" s="541">
        <v>215</v>
      </c>
      <c r="H64" s="541">
        <v>0</v>
      </c>
      <c r="I64" s="541">
        <v>0</v>
      </c>
      <c r="J64" s="541">
        <v>0</v>
      </c>
      <c r="K64" s="541">
        <v>0</v>
      </c>
      <c r="L64" s="541">
        <v>650</v>
      </c>
      <c r="M64" s="541">
        <v>270</v>
      </c>
      <c r="N64" s="541">
        <v>165</v>
      </c>
      <c r="O64" s="541">
        <v>215</v>
      </c>
      <c r="P64" s="811"/>
    </row>
    <row r="65" spans="1:16" s="46" customFormat="1" ht="20.149999999999999" customHeight="1">
      <c r="A65" s="851" t="s">
        <v>300</v>
      </c>
      <c r="B65" s="550" t="s">
        <v>880</v>
      </c>
      <c r="C65" s="549"/>
      <c r="D65" s="551">
        <f>SUM(D66:D81)</f>
        <v>10400</v>
      </c>
      <c r="E65" s="551">
        <f t="shared" ref="E65:N65" si="26">SUM(E66:E81)</f>
        <v>3550</v>
      </c>
      <c r="F65" s="551">
        <f t="shared" si="26"/>
        <v>3845</v>
      </c>
      <c r="G65" s="551">
        <f t="shared" si="26"/>
        <v>3005</v>
      </c>
      <c r="H65" s="551">
        <f t="shared" si="26"/>
        <v>655</v>
      </c>
      <c r="I65" s="551">
        <f t="shared" si="26"/>
        <v>244</v>
      </c>
      <c r="J65" s="551">
        <f t="shared" si="26"/>
        <v>234</v>
      </c>
      <c r="K65" s="551">
        <f t="shared" si="26"/>
        <v>177</v>
      </c>
      <c r="L65" s="551">
        <f t="shared" si="26"/>
        <v>9745</v>
      </c>
      <c r="M65" s="551">
        <f t="shared" si="26"/>
        <v>3306</v>
      </c>
      <c r="N65" s="551">
        <f t="shared" si="26"/>
        <v>3611</v>
      </c>
      <c r="O65" s="551">
        <f>G65-K65</f>
        <v>2828</v>
      </c>
      <c r="P65" s="812"/>
    </row>
    <row r="66" spans="1:16" s="46" customFormat="1" ht="20.149999999999999" customHeight="1">
      <c r="A66" s="852">
        <v>1</v>
      </c>
      <c r="B66" s="554" t="s">
        <v>1114</v>
      </c>
      <c r="C66" s="553" t="s">
        <v>1009</v>
      </c>
      <c r="D66" s="555">
        <f>E66+F66+G66</f>
        <v>650</v>
      </c>
      <c r="E66" s="555">
        <v>200</v>
      </c>
      <c r="F66" s="555">
        <v>295</v>
      </c>
      <c r="G66" s="555">
        <v>155</v>
      </c>
      <c r="H66" s="555">
        <f>I66+J66+K66</f>
        <v>130</v>
      </c>
      <c r="I66" s="555">
        <v>40</v>
      </c>
      <c r="J66" s="555">
        <v>59</v>
      </c>
      <c r="K66" s="555">
        <v>31</v>
      </c>
      <c r="L66" s="555">
        <f>D66-H66</f>
        <v>520</v>
      </c>
      <c r="M66" s="555">
        <f>E66-I66</f>
        <v>160</v>
      </c>
      <c r="N66" s="555">
        <f>F66-J66</f>
        <v>236</v>
      </c>
      <c r="O66" s="555">
        <f>F66-K66</f>
        <v>264</v>
      </c>
      <c r="P66" s="861" t="s">
        <v>1022</v>
      </c>
    </row>
    <row r="67" spans="1:16" s="372" customFormat="1" ht="20.149999999999999" customHeight="1">
      <c r="A67" s="852">
        <v>2</v>
      </c>
      <c r="B67" s="554" t="s">
        <v>1115</v>
      </c>
      <c r="C67" s="553" t="s">
        <v>1116</v>
      </c>
      <c r="D67" s="555">
        <f t="shared" ref="D67:D70" si="27">E67+F67+G67</f>
        <v>650</v>
      </c>
      <c r="E67" s="555">
        <v>200</v>
      </c>
      <c r="F67" s="555">
        <v>350</v>
      </c>
      <c r="G67" s="555">
        <v>100</v>
      </c>
      <c r="H67" s="555">
        <f t="shared" ref="H67:H81" si="28">I67+J67+K67</f>
        <v>0</v>
      </c>
      <c r="I67" s="555">
        <v>0</v>
      </c>
      <c r="J67" s="555">
        <v>0</v>
      </c>
      <c r="K67" s="555">
        <v>0</v>
      </c>
      <c r="L67" s="555">
        <f t="shared" ref="L67:M81" si="29">D67-H67</f>
        <v>650</v>
      </c>
      <c r="M67" s="555">
        <f>E67-I67</f>
        <v>200</v>
      </c>
      <c r="N67" s="555">
        <f t="shared" ref="N67:N81" si="30">F67-J67</f>
        <v>350</v>
      </c>
      <c r="O67" s="555">
        <f t="shared" ref="O67:O81" si="31">F67-K67</f>
        <v>350</v>
      </c>
      <c r="P67" s="861"/>
    </row>
    <row r="68" spans="1:16" s="46" customFormat="1" ht="20.149999999999999" customHeight="1">
      <c r="A68" s="852">
        <v>3</v>
      </c>
      <c r="B68" s="554" t="s">
        <v>1117</v>
      </c>
      <c r="C68" s="553" t="s">
        <v>1009</v>
      </c>
      <c r="D68" s="555">
        <f t="shared" si="27"/>
        <v>650</v>
      </c>
      <c r="E68" s="555">
        <v>270</v>
      </c>
      <c r="F68" s="555">
        <v>220</v>
      </c>
      <c r="G68" s="555">
        <v>160</v>
      </c>
      <c r="H68" s="555">
        <f t="shared" si="28"/>
        <v>97</v>
      </c>
      <c r="I68" s="555">
        <v>40</v>
      </c>
      <c r="J68" s="555">
        <v>33</v>
      </c>
      <c r="K68" s="555">
        <v>24</v>
      </c>
      <c r="L68" s="555">
        <f t="shared" si="29"/>
        <v>553</v>
      </c>
      <c r="M68" s="555">
        <f t="shared" si="29"/>
        <v>230</v>
      </c>
      <c r="N68" s="555">
        <f t="shared" si="30"/>
        <v>187</v>
      </c>
      <c r="O68" s="555">
        <f t="shared" si="31"/>
        <v>196</v>
      </c>
      <c r="P68" s="861" t="s">
        <v>1118</v>
      </c>
    </row>
    <row r="69" spans="1:16" s="46" customFormat="1" ht="20.149999999999999" customHeight="1">
      <c r="A69" s="852">
        <v>4</v>
      </c>
      <c r="B69" s="554" t="s">
        <v>1119</v>
      </c>
      <c r="C69" s="553" t="s">
        <v>1009</v>
      </c>
      <c r="D69" s="555">
        <f t="shared" si="27"/>
        <v>650</v>
      </c>
      <c r="E69" s="555">
        <v>200</v>
      </c>
      <c r="F69" s="555">
        <v>295</v>
      </c>
      <c r="G69" s="555">
        <v>155</v>
      </c>
      <c r="H69" s="555">
        <f t="shared" si="28"/>
        <v>97</v>
      </c>
      <c r="I69" s="555">
        <v>40</v>
      </c>
      <c r="J69" s="555">
        <v>33</v>
      </c>
      <c r="K69" s="555">
        <v>24</v>
      </c>
      <c r="L69" s="555">
        <f t="shared" si="29"/>
        <v>553</v>
      </c>
      <c r="M69" s="555">
        <f t="shared" si="29"/>
        <v>160</v>
      </c>
      <c r="N69" s="555">
        <f t="shared" si="30"/>
        <v>262</v>
      </c>
      <c r="O69" s="555">
        <f t="shared" si="31"/>
        <v>271</v>
      </c>
      <c r="P69" s="861" t="s">
        <v>1027</v>
      </c>
    </row>
    <row r="70" spans="1:16" s="46" customFormat="1" ht="20.149999999999999" customHeight="1">
      <c r="A70" s="852">
        <v>5</v>
      </c>
      <c r="B70" s="554" t="s">
        <v>1120</v>
      </c>
      <c r="C70" s="553" t="s">
        <v>1009</v>
      </c>
      <c r="D70" s="555">
        <f t="shared" si="27"/>
        <v>650</v>
      </c>
      <c r="E70" s="555">
        <v>270</v>
      </c>
      <c r="F70" s="555">
        <v>220</v>
      </c>
      <c r="G70" s="555">
        <v>160</v>
      </c>
      <c r="H70" s="555">
        <f t="shared" si="28"/>
        <v>97</v>
      </c>
      <c r="I70" s="555">
        <v>40</v>
      </c>
      <c r="J70" s="555">
        <v>33</v>
      </c>
      <c r="K70" s="555">
        <v>24</v>
      </c>
      <c r="L70" s="555">
        <f t="shared" si="29"/>
        <v>553</v>
      </c>
      <c r="M70" s="555">
        <f t="shared" si="29"/>
        <v>230</v>
      </c>
      <c r="N70" s="555">
        <f t="shared" si="30"/>
        <v>187</v>
      </c>
      <c r="O70" s="555">
        <f t="shared" si="31"/>
        <v>196</v>
      </c>
      <c r="P70" s="861" t="s">
        <v>1121</v>
      </c>
    </row>
    <row r="71" spans="1:16" s="46" customFormat="1" ht="20.149999999999999" customHeight="1">
      <c r="A71" s="852">
        <v>6</v>
      </c>
      <c r="B71" s="554" t="s">
        <v>1122</v>
      </c>
      <c r="C71" s="553" t="s">
        <v>1011</v>
      </c>
      <c r="D71" s="555">
        <f>E71+F71+G71</f>
        <v>650</v>
      </c>
      <c r="E71" s="555">
        <v>270</v>
      </c>
      <c r="F71" s="555">
        <v>175</v>
      </c>
      <c r="G71" s="555">
        <v>205</v>
      </c>
      <c r="H71" s="555">
        <f t="shared" si="28"/>
        <v>0</v>
      </c>
      <c r="I71" s="555">
        <v>0</v>
      </c>
      <c r="J71" s="555">
        <v>0</v>
      </c>
      <c r="K71" s="555">
        <v>0</v>
      </c>
      <c r="L71" s="555">
        <f t="shared" si="29"/>
        <v>650</v>
      </c>
      <c r="M71" s="555">
        <f t="shared" si="29"/>
        <v>270</v>
      </c>
      <c r="N71" s="555">
        <f t="shared" si="30"/>
        <v>175</v>
      </c>
      <c r="O71" s="555">
        <f t="shared" si="31"/>
        <v>175</v>
      </c>
      <c r="P71" s="861" t="s">
        <v>1013</v>
      </c>
    </row>
    <row r="72" spans="1:16" s="46" customFormat="1" ht="20.149999999999999" customHeight="1">
      <c r="A72" s="852">
        <v>7</v>
      </c>
      <c r="B72" s="557" t="s">
        <v>1123</v>
      </c>
      <c r="C72" s="553" t="s">
        <v>1011</v>
      </c>
      <c r="D72" s="555">
        <f t="shared" ref="D72:D81" si="32">E72+F72+G72</f>
        <v>650</v>
      </c>
      <c r="E72" s="555">
        <v>200</v>
      </c>
      <c r="F72" s="555">
        <v>235</v>
      </c>
      <c r="G72" s="555">
        <v>215</v>
      </c>
      <c r="H72" s="555">
        <f t="shared" si="28"/>
        <v>0</v>
      </c>
      <c r="I72" s="555">
        <v>0</v>
      </c>
      <c r="J72" s="555">
        <v>0</v>
      </c>
      <c r="K72" s="555">
        <v>0</v>
      </c>
      <c r="L72" s="555">
        <f t="shared" si="29"/>
        <v>650</v>
      </c>
      <c r="M72" s="555">
        <f t="shared" si="29"/>
        <v>200</v>
      </c>
      <c r="N72" s="555">
        <f t="shared" si="30"/>
        <v>235</v>
      </c>
      <c r="O72" s="555">
        <f t="shared" si="31"/>
        <v>235</v>
      </c>
      <c r="P72" s="862"/>
    </row>
    <row r="73" spans="1:16" s="46" customFormat="1" ht="20.149999999999999" customHeight="1">
      <c r="A73" s="852">
        <v>8</v>
      </c>
      <c r="B73" s="557" t="s">
        <v>1124</v>
      </c>
      <c r="C73" s="553" t="s">
        <v>1011</v>
      </c>
      <c r="D73" s="555">
        <f t="shared" si="32"/>
        <v>650</v>
      </c>
      <c r="E73" s="555">
        <v>270</v>
      </c>
      <c r="F73" s="555">
        <v>175</v>
      </c>
      <c r="G73" s="555">
        <v>205</v>
      </c>
      <c r="H73" s="555">
        <f t="shared" si="28"/>
        <v>0</v>
      </c>
      <c r="I73" s="555">
        <v>0</v>
      </c>
      <c r="J73" s="555">
        <v>0</v>
      </c>
      <c r="K73" s="555">
        <v>0</v>
      </c>
      <c r="L73" s="555">
        <f t="shared" si="29"/>
        <v>650</v>
      </c>
      <c r="M73" s="555">
        <f t="shared" si="29"/>
        <v>270</v>
      </c>
      <c r="N73" s="555">
        <f t="shared" si="30"/>
        <v>175</v>
      </c>
      <c r="O73" s="555">
        <f t="shared" si="31"/>
        <v>175</v>
      </c>
      <c r="P73" s="862"/>
    </row>
    <row r="74" spans="1:16" s="46" customFormat="1" ht="20.149999999999999" customHeight="1">
      <c r="A74" s="852">
        <v>9</v>
      </c>
      <c r="B74" s="557" t="s">
        <v>1125</v>
      </c>
      <c r="C74" s="553" t="s">
        <v>1011</v>
      </c>
      <c r="D74" s="555">
        <f t="shared" si="32"/>
        <v>650</v>
      </c>
      <c r="E74" s="555">
        <v>270</v>
      </c>
      <c r="F74" s="555">
        <v>175</v>
      </c>
      <c r="G74" s="555">
        <v>205</v>
      </c>
      <c r="H74" s="555">
        <f t="shared" si="28"/>
        <v>65</v>
      </c>
      <c r="I74" s="555">
        <v>27</v>
      </c>
      <c r="J74" s="555">
        <v>17.5</v>
      </c>
      <c r="K74" s="555">
        <v>20.5</v>
      </c>
      <c r="L74" s="555">
        <f t="shared" si="29"/>
        <v>585</v>
      </c>
      <c r="M74" s="555">
        <f t="shared" si="29"/>
        <v>243</v>
      </c>
      <c r="N74" s="555">
        <f t="shared" si="30"/>
        <v>157.5</v>
      </c>
      <c r="O74" s="555">
        <f t="shared" si="31"/>
        <v>154.5</v>
      </c>
      <c r="P74" s="861" t="s">
        <v>1126</v>
      </c>
    </row>
    <row r="75" spans="1:16" s="46" customFormat="1" ht="20.149999999999999" customHeight="1">
      <c r="A75" s="852">
        <v>10</v>
      </c>
      <c r="B75" s="557" t="s">
        <v>1127</v>
      </c>
      <c r="C75" s="553" t="s">
        <v>1009</v>
      </c>
      <c r="D75" s="555">
        <f t="shared" si="32"/>
        <v>650</v>
      </c>
      <c r="E75" s="555">
        <v>200</v>
      </c>
      <c r="F75" s="555">
        <v>295</v>
      </c>
      <c r="G75" s="555">
        <v>155</v>
      </c>
      <c r="H75" s="555">
        <f t="shared" si="28"/>
        <v>0</v>
      </c>
      <c r="I75" s="555">
        <v>0</v>
      </c>
      <c r="J75" s="555">
        <v>0</v>
      </c>
      <c r="K75" s="555">
        <v>0</v>
      </c>
      <c r="L75" s="555">
        <f t="shared" si="29"/>
        <v>650</v>
      </c>
      <c r="M75" s="555">
        <f t="shared" si="29"/>
        <v>200</v>
      </c>
      <c r="N75" s="555">
        <f t="shared" si="30"/>
        <v>295</v>
      </c>
      <c r="O75" s="555">
        <f t="shared" si="31"/>
        <v>295</v>
      </c>
      <c r="P75" s="861"/>
    </row>
    <row r="76" spans="1:16" s="46" customFormat="1" ht="20.149999999999999" customHeight="1">
      <c r="A76" s="852">
        <v>11</v>
      </c>
      <c r="B76" s="557" t="s">
        <v>1128</v>
      </c>
      <c r="C76" s="553" t="s">
        <v>1011</v>
      </c>
      <c r="D76" s="555">
        <f t="shared" si="32"/>
        <v>650</v>
      </c>
      <c r="E76" s="555">
        <v>200</v>
      </c>
      <c r="F76" s="555">
        <v>235</v>
      </c>
      <c r="G76" s="555">
        <v>215</v>
      </c>
      <c r="H76" s="555">
        <f t="shared" si="28"/>
        <v>0</v>
      </c>
      <c r="I76" s="555">
        <v>0</v>
      </c>
      <c r="J76" s="555">
        <v>0</v>
      </c>
      <c r="K76" s="555">
        <v>0</v>
      </c>
      <c r="L76" s="555">
        <f t="shared" si="29"/>
        <v>650</v>
      </c>
      <c r="M76" s="555">
        <f t="shared" si="29"/>
        <v>200</v>
      </c>
      <c r="N76" s="555">
        <f t="shared" si="30"/>
        <v>235</v>
      </c>
      <c r="O76" s="555">
        <f t="shared" si="31"/>
        <v>235</v>
      </c>
      <c r="P76" s="862"/>
    </row>
    <row r="77" spans="1:16" s="46" customFormat="1" ht="20.149999999999999" customHeight="1">
      <c r="A77" s="852">
        <v>12</v>
      </c>
      <c r="B77" s="554" t="s">
        <v>1129</v>
      </c>
      <c r="C77" s="553" t="s">
        <v>1011</v>
      </c>
      <c r="D77" s="555">
        <f t="shared" si="32"/>
        <v>650</v>
      </c>
      <c r="E77" s="555">
        <v>200</v>
      </c>
      <c r="F77" s="555">
        <v>235</v>
      </c>
      <c r="G77" s="555">
        <v>215</v>
      </c>
      <c r="H77" s="555">
        <f t="shared" si="28"/>
        <v>0</v>
      </c>
      <c r="I77" s="555">
        <v>0</v>
      </c>
      <c r="J77" s="555">
        <v>0</v>
      </c>
      <c r="K77" s="555">
        <v>0</v>
      </c>
      <c r="L77" s="555">
        <f t="shared" si="29"/>
        <v>650</v>
      </c>
      <c r="M77" s="555">
        <f t="shared" si="29"/>
        <v>200</v>
      </c>
      <c r="N77" s="555">
        <f t="shared" si="30"/>
        <v>235</v>
      </c>
      <c r="O77" s="555">
        <f t="shared" si="31"/>
        <v>235</v>
      </c>
      <c r="P77" s="861"/>
    </row>
    <row r="78" spans="1:16" s="46" customFormat="1" ht="20.149999999999999" customHeight="1">
      <c r="A78" s="852">
        <v>13</v>
      </c>
      <c r="B78" s="548" t="s">
        <v>1130</v>
      </c>
      <c r="C78" s="540" t="s">
        <v>1011</v>
      </c>
      <c r="D78" s="555">
        <f t="shared" si="32"/>
        <v>650</v>
      </c>
      <c r="E78" s="555">
        <v>200</v>
      </c>
      <c r="F78" s="555">
        <v>235</v>
      </c>
      <c r="G78" s="555">
        <v>215</v>
      </c>
      <c r="H78" s="555">
        <f t="shared" si="28"/>
        <v>0</v>
      </c>
      <c r="I78" s="555">
        <v>0</v>
      </c>
      <c r="J78" s="555">
        <v>0</v>
      </c>
      <c r="K78" s="555">
        <v>0</v>
      </c>
      <c r="L78" s="555">
        <f t="shared" si="29"/>
        <v>650</v>
      </c>
      <c r="M78" s="555">
        <f t="shared" si="29"/>
        <v>200</v>
      </c>
      <c r="N78" s="555">
        <f t="shared" si="30"/>
        <v>235</v>
      </c>
      <c r="O78" s="555">
        <f t="shared" si="31"/>
        <v>235</v>
      </c>
      <c r="P78" s="863"/>
    </row>
    <row r="79" spans="1:16" s="46" customFormat="1" ht="20.149999999999999" customHeight="1">
      <c r="A79" s="852">
        <v>14</v>
      </c>
      <c r="B79" s="548" t="s">
        <v>1131</v>
      </c>
      <c r="C79" s="540" t="s">
        <v>1011</v>
      </c>
      <c r="D79" s="555">
        <f t="shared" si="32"/>
        <v>650</v>
      </c>
      <c r="E79" s="555">
        <v>200</v>
      </c>
      <c r="F79" s="555">
        <v>235</v>
      </c>
      <c r="G79" s="555">
        <v>215</v>
      </c>
      <c r="H79" s="555">
        <f t="shared" si="28"/>
        <v>97</v>
      </c>
      <c r="I79" s="555">
        <v>30</v>
      </c>
      <c r="J79" s="555">
        <v>35</v>
      </c>
      <c r="K79" s="555">
        <v>32</v>
      </c>
      <c r="L79" s="555">
        <f t="shared" si="29"/>
        <v>553</v>
      </c>
      <c r="M79" s="555">
        <f t="shared" si="29"/>
        <v>170</v>
      </c>
      <c r="N79" s="555">
        <f t="shared" si="30"/>
        <v>200</v>
      </c>
      <c r="O79" s="555">
        <f t="shared" si="31"/>
        <v>203</v>
      </c>
      <c r="P79" s="864" t="s">
        <v>1025</v>
      </c>
    </row>
    <row r="80" spans="1:16" s="46" customFormat="1" ht="20.149999999999999" customHeight="1">
      <c r="A80" s="852">
        <v>15</v>
      </c>
      <c r="B80" s="548" t="s">
        <v>1132</v>
      </c>
      <c r="C80" s="553" t="s">
        <v>1011</v>
      </c>
      <c r="D80" s="555">
        <f t="shared" si="32"/>
        <v>650</v>
      </c>
      <c r="E80" s="555">
        <v>200</v>
      </c>
      <c r="F80" s="555">
        <v>235</v>
      </c>
      <c r="G80" s="555">
        <v>215</v>
      </c>
      <c r="H80" s="555">
        <f>I80+J80+K80</f>
        <v>72</v>
      </c>
      <c r="I80" s="555">
        <v>27</v>
      </c>
      <c r="J80" s="555">
        <v>23.5</v>
      </c>
      <c r="K80" s="555">
        <v>21.5</v>
      </c>
      <c r="L80" s="555">
        <f t="shared" si="29"/>
        <v>578</v>
      </c>
      <c r="M80" s="555">
        <f t="shared" si="29"/>
        <v>173</v>
      </c>
      <c r="N80" s="555">
        <f t="shared" si="30"/>
        <v>211.5</v>
      </c>
      <c r="O80" s="555">
        <f t="shared" si="31"/>
        <v>213.5</v>
      </c>
      <c r="P80" s="863"/>
    </row>
    <row r="81" spans="1:17" s="46" customFormat="1" ht="20.149999999999999" customHeight="1">
      <c r="A81" s="852">
        <v>16</v>
      </c>
      <c r="B81" s="548" t="s">
        <v>1133</v>
      </c>
      <c r="C81" s="553" t="s">
        <v>1011</v>
      </c>
      <c r="D81" s="555">
        <f t="shared" si="32"/>
        <v>650</v>
      </c>
      <c r="E81" s="555">
        <v>200</v>
      </c>
      <c r="F81" s="555">
        <v>235</v>
      </c>
      <c r="G81" s="555">
        <v>215</v>
      </c>
      <c r="H81" s="555">
        <f t="shared" si="28"/>
        <v>0</v>
      </c>
      <c r="I81" s="555">
        <v>0</v>
      </c>
      <c r="J81" s="555">
        <v>0</v>
      </c>
      <c r="K81" s="555">
        <v>0</v>
      </c>
      <c r="L81" s="555">
        <f t="shared" si="29"/>
        <v>650</v>
      </c>
      <c r="M81" s="555">
        <f t="shared" si="29"/>
        <v>200</v>
      </c>
      <c r="N81" s="555">
        <f t="shared" si="30"/>
        <v>235</v>
      </c>
      <c r="O81" s="555">
        <f t="shared" si="31"/>
        <v>235</v>
      </c>
      <c r="P81" s="863"/>
    </row>
    <row r="82" spans="1:17" s="517" customFormat="1" ht="38.25" customHeight="1" thickBot="1">
      <c r="A82" s="956"/>
      <c r="B82" s="957" t="s">
        <v>254</v>
      </c>
      <c r="C82" s="955"/>
      <c r="D82" s="953">
        <f>D65+D50+D33+D14</f>
        <v>41600</v>
      </c>
      <c r="E82" s="953">
        <f t="shared" ref="E82:O82" si="33">E65+E50+E33+E14</f>
        <v>16440</v>
      </c>
      <c r="F82" s="953">
        <f t="shared" si="33"/>
        <v>12555</v>
      </c>
      <c r="G82" s="953">
        <f t="shared" si="33"/>
        <v>12605</v>
      </c>
      <c r="H82" s="953">
        <f t="shared" si="33"/>
        <v>6498.25</v>
      </c>
      <c r="I82" s="953">
        <f t="shared" si="33"/>
        <v>2954.5</v>
      </c>
      <c r="J82" s="953">
        <f t="shared" si="33"/>
        <v>1547</v>
      </c>
      <c r="K82" s="953">
        <f t="shared" si="33"/>
        <v>2008.75</v>
      </c>
      <c r="L82" s="953">
        <f t="shared" si="33"/>
        <v>33714.75</v>
      </c>
      <c r="M82" s="953">
        <f t="shared" si="33"/>
        <v>13485.5</v>
      </c>
      <c r="N82" s="953">
        <f t="shared" si="33"/>
        <v>11008</v>
      </c>
      <c r="O82" s="953">
        <f t="shared" si="33"/>
        <v>10596.25</v>
      </c>
      <c r="P82" s="954"/>
      <c r="Q82" s="518" t="s">
        <v>643</v>
      </c>
    </row>
    <row r="83" spans="1:17">
      <c r="A83" s="19"/>
      <c r="B83" s="1"/>
      <c r="C83" s="1"/>
      <c r="D83" s="1320" t="s">
        <v>247</v>
      </c>
      <c r="E83" s="1320"/>
      <c r="F83" s="1320"/>
      <c r="G83" s="1320"/>
      <c r="H83" s="1320"/>
      <c r="I83" s="1320"/>
      <c r="J83" s="1320"/>
      <c r="K83" s="1320"/>
      <c r="L83" s="1320"/>
      <c r="M83" s="1320"/>
      <c r="N83" s="1320"/>
      <c r="O83" s="1320"/>
      <c r="P83" s="1320"/>
    </row>
    <row r="84" spans="1:17">
      <c r="A84" s="19"/>
      <c r="B84" s="41"/>
      <c r="C84" s="1"/>
      <c r="E84" s="69"/>
      <c r="F84" s="69"/>
      <c r="G84" s="69"/>
      <c r="H84" s="69"/>
      <c r="I84" s="69"/>
      <c r="J84" s="69"/>
      <c r="K84" s="69"/>
      <c r="L84" s="69"/>
      <c r="M84" s="1319" t="s">
        <v>1427</v>
      </c>
      <c r="N84" s="1319"/>
      <c r="O84" s="1319"/>
      <c r="P84" s="1319"/>
    </row>
    <row r="85" spans="1:17" ht="81.75" customHeight="1">
      <c r="A85" s="1398"/>
      <c r="B85" s="1398"/>
      <c r="C85" s="1398"/>
      <c r="D85" s="1398"/>
      <c r="E85" s="1398"/>
      <c r="F85" s="1398"/>
      <c r="G85" s="1398"/>
      <c r="H85" s="1398"/>
      <c r="I85" s="1398"/>
      <c r="J85" s="1398"/>
      <c r="K85" s="1398"/>
      <c r="L85" s="1398"/>
      <c r="M85" s="2"/>
      <c r="N85" s="2"/>
      <c r="O85" s="2"/>
      <c r="P85" s="2"/>
    </row>
    <row r="86" spans="1:17" ht="15">
      <c r="M86" s="1394" t="s">
        <v>1433</v>
      </c>
      <c r="N86" s="1394"/>
      <c r="O86" s="1394"/>
      <c r="P86" s="1394"/>
    </row>
  </sheetData>
  <mergeCells count="17">
    <mergeCell ref="D1:O1"/>
    <mergeCell ref="D2:O2"/>
    <mergeCell ref="A3:P3"/>
    <mergeCell ref="A1:C1"/>
    <mergeCell ref="A2:C2"/>
    <mergeCell ref="D5:G5"/>
    <mergeCell ref="H5:K5"/>
    <mergeCell ref="L5:O5"/>
    <mergeCell ref="M86:P86"/>
    <mergeCell ref="G4:P4"/>
    <mergeCell ref="P5:P6"/>
    <mergeCell ref="D83:P83"/>
    <mergeCell ref="M84:P84"/>
    <mergeCell ref="A85:L85"/>
    <mergeCell ref="A5:A6"/>
    <mergeCell ref="B5:B6"/>
    <mergeCell ref="C5:C6"/>
  </mergeCells>
  <pageMargins left="0" right="0" top="0" bottom="0" header="0" footer="0"/>
  <pageSetup paperSize="9" scale="8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18"/>
  <sheetViews>
    <sheetView workbookViewId="0">
      <selection sqref="A1:P18"/>
    </sheetView>
  </sheetViews>
  <sheetFormatPr defaultColWidth="8.9140625" defaultRowHeight="14"/>
  <cols>
    <col min="1" max="1" width="4.9140625" style="31" customWidth="1"/>
    <col min="2" max="2" width="33" style="32" customWidth="1"/>
    <col min="3" max="3" width="7.4140625" style="32" customWidth="1"/>
    <col min="4" max="4" width="6.6640625" customWidth="1"/>
    <col min="5" max="6" width="7.08203125" customWidth="1"/>
    <col min="7" max="7" width="8.08203125" customWidth="1"/>
    <col min="8" max="8" width="6.4140625" customWidth="1"/>
    <col min="9" max="9" width="7.08203125" customWidth="1"/>
    <col min="10" max="10" width="6.4140625" customWidth="1"/>
    <col min="11" max="11" width="7.6640625" customWidth="1"/>
    <col min="12" max="12" width="7.33203125" customWidth="1"/>
    <col min="13" max="14" width="7.4140625" customWidth="1"/>
    <col min="16" max="16" width="16.4140625" customWidth="1"/>
  </cols>
  <sheetData>
    <row r="1" spans="1:16" ht="15">
      <c r="A1" s="1403" t="s">
        <v>0</v>
      </c>
      <c r="B1" s="1403"/>
      <c r="C1" s="1"/>
      <c r="D1" s="1368"/>
      <c r="E1" s="1368"/>
      <c r="F1" s="1368"/>
      <c r="G1" s="1368"/>
      <c r="H1" s="1368"/>
      <c r="I1" s="1368"/>
      <c r="J1" s="1368"/>
      <c r="K1" s="1368"/>
      <c r="L1" s="1368"/>
      <c r="M1" s="1368"/>
      <c r="N1" s="1368"/>
      <c r="O1" s="1368"/>
      <c r="P1" s="54" t="s">
        <v>235</v>
      </c>
    </row>
    <row r="2" spans="1:16" ht="15">
      <c r="A2" s="671" t="s">
        <v>808</v>
      </c>
      <c r="B2" s="671"/>
      <c r="C2" s="1"/>
      <c r="D2" s="1369"/>
      <c r="E2" s="1369"/>
      <c r="F2" s="1369"/>
      <c r="G2" s="1369"/>
      <c r="H2" s="1369"/>
      <c r="I2" s="1369"/>
      <c r="J2" s="1369"/>
      <c r="K2" s="1369"/>
      <c r="L2" s="1369"/>
      <c r="M2" s="1369"/>
      <c r="N2" s="1369"/>
      <c r="O2" s="1369"/>
      <c r="P2" s="2"/>
    </row>
    <row r="3" spans="1:16" ht="24.9" customHeight="1">
      <c r="A3" s="1302" t="s">
        <v>236</v>
      </c>
      <c r="B3" s="1302"/>
      <c r="C3" s="1302"/>
      <c r="D3" s="1302"/>
      <c r="E3" s="1302"/>
      <c r="F3" s="1302"/>
      <c r="G3" s="1302"/>
      <c r="H3" s="1302"/>
      <c r="I3" s="1302"/>
      <c r="J3" s="1302"/>
      <c r="K3" s="1302"/>
      <c r="L3" s="1302"/>
      <c r="M3" s="1302"/>
      <c r="N3" s="1302"/>
      <c r="O3" s="1302"/>
      <c r="P3" s="1302"/>
    </row>
    <row r="4" spans="1:16" ht="14.5" thickBot="1">
      <c r="A4" s="3"/>
      <c r="B4" s="3"/>
      <c r="C4" s="3"/>
      <c r="D4" s="3"/>
      <c r="E4" s="3"/>
      <c r="F4" s="3"/>
      <c r="G4" s="1395" t="s">
        <v>237</v>
      </c>
      <c r="H4" s="1395"/>
      <c r="I4" s="1395"/>
      <c r="J4" s="1395"/>
      <c r="K4" s="1395"/>
      <c r="L4" s="1395"/>
      <c r="M4" s="1395"/>
      <c r="N4" s="1395"/>
      <c r="O4" s="1395"/>
      <c r="P4" s="1395"/>
    </row>
    <row r="5" spans="1:16" ht="29.25" customHeight="1">
      <c r="A5" s="1399" t="s">
        <v>5</v>
      </c>
      <c r="B5" s="1401" t="s">
        <v>238</v>
      </c>
      <c r="C5" s="1401" t="s">
        <v>189</v>
      </c>
      <c r="D5" s="1393" t="s">
        <v>239</v>
      </c>
      <c r="E5" s="1393"/>
      <c r="F5" s="1393"/>
      <c r="G5" s="1393"/>
      <c r="H5" s="1393" t="s">
        <v>240</v>
      </c>
      <c r="I5" s="1393"/>
      <c r="J5" s="1393"/>
      <c r="K5" s="1393"/>
      <c r="L5" s="1393" t="s">
        <v>241</v>
      </c>
      <c r="M5" s="1393"/>
      <c r="N5" s="1393"/>
      <c r="O5" s="1393"/>
      <c r="P5" s="1396" t="s">
        <v>16</v>
      </c>
    </row>
    <row r="6" spans="1:16" ht="39">
      <c r="A6" s="1400"/>
      <c r="B6" s="1402"/>
      <c r="C6" s="1402"/>
      <c r="D6" s="681" t="s">
        <v>242</v>
      </c>
      <c r="E6" s="681" t="s">
        <v>243</v>
      </c>
      <c r="F6" s="681" t="s">
        <v>244</v>
      </c>
      <c r="G6" s="681" t="s">
        <v>245</v>
      </c>
      <c r="H6" s="681" t="s">
        <v>242</v>
      </c>
      <c r="I6" s="681" t="s">
        <v>243</v>
      </c>
      <c r="J6" s="681" t="s">
        <v>244</v>
      </c>
      <c r="K6" s="681" t="s">
        <v>245</v>
      </c>
      <c r="L6" s="681" t="s">
        <v>242</v>
      </c>
      <c r="M6" s="681" t="s">
        <v>243</v>
      </c>
      <c r="N6" s="681" t="s">
        <v>244</v>
      </c>
      <c r="O6" s="681" t="s">
        <v>245</v>
      </c>
      <c r="P6" s="1397"/>
    </row>
    <row r="7" spans="1:16">
      <c r="A7" s="839" t="s">
        <v>139</v>
      </c>
      <c r="B7" s="55" t="s">
        <v>140</v>
      </c>
      <c r="C7" s="56" t="s">
        <v>141</v>
      </c>
      <c r="D7" s="56" t="s">
        <v>142</v>
      </c>
      <c r="E7" s="56" t="s">
        <v>143</v>
      </c>
      <c r="F7" s="56" t="s">
        <v>193</v>
      </c>
      <c r="G7" s="56" t="s">
        <v>144</v>
      </c>
      <c r="H7" s="56" t="s">
        <v>194</v>
      </c>
      <c r="I7" s="56" t="s">
        <v>246</v>
      </c>
      <c r="J7" s="56" t="s">
        <v>145</v>
      </c>
      <c r="K7" s="57" t="s">
        <v>146</v>
      </c>
      <c r="L7" s="56" t="s">
        <v>147</v>
      </c>
      <c r="M7" s="56" t="s">
        <v>148</v>
      </c>
      <c r="N7" s="56" t="s">
        <v>149</v>
      </c>
      <c r="O7" s="56" t="s">
        <v>150</v>
      </c>
      <c r="P7" s="840" t="s">
        <v>151</v>
      </c>
    </row>
    <row r="8" spans="1:16" s="58" customFormat="1">
      <c r="A8" s="845">
        <v>1</v>
      </c>
      <c r="B8" s="374" t="s">
        <v>805</v>
      </c>
      <c r="C8" s="373"/>
      <c r="D8" s="373"/>
      <c r="E8" s="373"/>
      <c r="F8" s="373"/>
      <c r="G8" s="373"/>
      <c r="H8" s="373"/>
      <c r="I8" s="373"/>
      <c r="J8" s="373"/>
      <c r="K8" s="373"/>
      <c r="L8" s="373"/>
      <c r="M8" s="373"/>
      <c r="N8" s="373"/>
      <c r="O8" s="373"/>
      <c r="P8" s="841"/>
    </row>
    <row r="9" spans="1:16">
      <c r="A9" s="845">
        <v>2</v>
      </c>
      <c r="B9" s="374" t="s">
        <v>806</v>
      </c>
      <c r="C9" s="373"/>
      <c r="D9" s="373"/>
      <c r="E9" s="373"/>
      <c r="F9" s="373"/>
      <c r="G9" s="373"/>
      <c r="H9" s="373"/>
      <c r="I9" s="373"/>
      <c r="J9" s="373"/>
      <c r="K9" s="373"/>
      <c r="L9" s="373"/>
      <c r="M9" s="373"/>
      <c r="N9" s="373"/>
      <c r="O9" s="373"/>
      <c r="P9" s="841"/>
    </row>
    <row r="10" spans="1:16">
      <c r="A10" s="845">
        <v>3</v>
      </c>
      <c r="B10" s="374" t="s">
        <v>807</v>
      </c>
      <c r="C10" s="373"/>
      <c r="D10" s="373"/>
      <c r="E10" s="373"/>
      <c r="F10" s="373"/>
      <c r="G10" s="373"/>
      <c r="H10" s="373"/>
      <c r="I10" s="373"/>
      <c r="J10" s="373"/>
      <c r="K10" s="373"/>
      <c r="L10" s="373"/>
      <c r="M10" s="373"/>
      <c r="N10" s="373"/>
      <c r="O10" s="373"/>
      <c r="P10" s="841"/>
    </row>
    <row r="11" spans="1:16" ht="30" customHeight="1">
      <c r="A11" s="845">
        <v>4</v>
      </c>
      <c r="B11" s="374" t="s">
        <v>1005</v>
      </c>
      <c r="C11" s="373"/>
      <c r="D11" s="373"/>
      <c r="E11" s="373"/>
      <c r="F11" s="373"/>
      <c r="G11" s="373"/>
      <c r="H11" s="373"/>
      <c r="I11" s="373"/>
      <c r="J11" s="373"/>
      <c r="K11" s="373"/>
      <c r="L11" s="373"/>
      <c r="M11" s="373"/>
      <c r="N11" s="373"/>
      <c r="O11" s="373"/>
      <c r="P11" s="841"/>
    </row>
    <row r="12" spans="1:16">
      <c r="A12" s="845">
        <v>5</v>
      </c>
      <c r="B12" s="374" t="s">
        <v>1134</v>
      </c>
      <c r="C12" s="373"/>
      <c r="D12" s="373"/>
      <c r="E12" s="373"/>
      <c r="F12" s="373"/>
      <c r="G12" s="373"/>
      <c r="H12" s="373"/>
      <c r="I12" s="373"/>
      <c r="J12" s="373"/>
      <c r="K12" s="373"/>
      <c r="L12" s="373"/>
      <c r="M12" s="373"/>
      <c r="N12" s="373"/>
      <c r="O12" s="373"/>
      <c r="P12" s="841"/>
    </row>
    <row r="13" spans="1:16">
      <c r="A13" s="845">
        <v>6</v>
      </c>
      <c r="B13" s="374" t="s">
        <v>1007</v>
      </c>
      <c r="C13" s="373"/>
      <c r="D13" s="373"/>
      <c r="E13" s="373"/>
      <c r="F13" s="373"/>
      <c r="G13" s="373"/>
      <c r="H13" s="373"/>
      <c r="I13" s="373"/>
      <c r="J13" s="373"/>
      <c r="K13" s="373"/>
      <c r="L13" s="373"/>
      <c r="M13" s="373"/>
      <c r="N13" s="373"/>
      <c r="O13" s="373"/>
      <c r="P13" s="841"/>
    </row>
    <row r="14" spans="1:16" s="46" customFormat="1" ht="38.25" customHeight="1" thickBot="1">
      <c r="A14" s="1405" t="s">
        <v>254</v>
      </c>
      <c r="B14" s="1406"/>
      <c r="C14" s="842"/>
      <c r="D14" s="843">
        <f>'Bieu 3a-Tong gio chuan chi tiet'!D82</f>
        <v>41600</v>
      </c>
      <c r="E14" s="843">
        <f>'Bieu 3a-Tong gio chuan chi tiet'!E82</f>
        <v>16440</v>
      </c>
      <c r="F14" s="843">
        <f>'Bieu 3a-Tong gio chuan chi tiet'!F82</f>
        <v>12555</v>
      </c>
      <c r="G14" s="843">
        <f>'Bieu 3a-Tong gio chuan chi tiet'!G82</f>
        <v>12605</v>
      </c>
      <c r="H14" s="843">
        <f>'Bieu 3a-Tong gio chuan chi tiet'!H82</f>
        <v>6498.25</v>
      </c>
      <c r="I14" s="843">
        <f>'Bieu 3a-Tong gio chuan chi tiet'!I82</f>
        <v>2954.5</v>
      </c>
      <c r="J14" s="843">
        <f>'Bieu 3a-Tong gio chuan chi tiet'!J82</f>
        <v>1547</v>
      </c>
      <c r="K14" s="843">
        <f>'Bieu 3a-Tong gio chuan chi tiet'!K82</f>
        <v>2008.75</v>
      </c>
      <c r="L14" s="843">
        <f>'Bieu 3a-Tong gio chuan chi tiet'!L82</f>
        <v>33714.75</v>
      </c>
      <c r="M14" s="843">
        <f>'Bieu 3a-Tong gio chuan chi tiet'!M82</f>
        <v>13485.5</v>
      </c>
      <c r="N14" s="843">
        <f>'Bieu 3a-Tong gio chuan chi tiet'!N82</f>
        <v>11008</v>
      </c>
      <c r="O14" s="843">
        <f>'Bieu 3a-Tong gio chuan chi tiet'!O82</f>
        <v>10596.25</v>
      </c>
      <c r="P14" s="844"/>
    </row>
    <row r="15" spans="1:16">
      <c r="A15" s="288"/>
      <c r="B15" s="1"/>
      <c r="C15" s="1"/>
      <c r="D15" s="1320" t="s">
        <v>247</v>
      </c>
      <c r="E15" s="1320"/>
      <c r="F15" s="1320"/>
      <c r="G15" s="1320"/>
      <c r="H15" s="1320"/>
      <c r="I15" s="1320"/>
      <c r="J15" s="1320"/>
      <c r="K15" s="1320"/>
      <c r="L15" s="1320"/>
      <c r="M15" s="1320"/>
      <c r="N15" s="1320"/>
      <c r="O15" s="1320"/>
      <c r="P15" s="1320"/>
    </row>
    <row r="16" spans="1:16">
      <c r="A16" s="288"/>
      <c r="B16" s="41"/>
      <c r="C16" s="1"/>
      <c r="E16" s="69"/>
      <c r="F16" s="69"/>
      <c r="G16" s="69"/>
      <c r="H16" s="69"/>
      <c r="I16" s="69"/>
      <c r="J16" s="69"/>
      <c r="K16" s="69"/>
      <c r="L16" s="69"/>
      <c r="M16" s="1319" t="s">
        <v>1427</v>
      </c>
      <c r="N16" s="1319"/>
      <c r="O16" s="1319"/>
      <c r="P16" s="1319"/>
    </row>
    <row r="17" spans="1:16" ht="81.75" customHeight="1">
      <c r="A17" s="1398"/>
      <c r="B17" s="1398"/>
      <c r="C17" s="1398"/>
      <c r="D17" s="1398"/>
      <c r="E17" s="1398"/>
      <c r="F17" s="1398"/>
      <c r="G17" s="1398"/>
      <c r="H17" s="1398"/>
      <c r="I17" s="1398"/>
      <c r="J17" s="1398"/>
      <c r="K17" s="1398"/>
      <c r="L17" s="1398"/>
      <c r="M17" s="2"/>
      <c r="N17" s="2"/>
      <c r="O17" s="2"/>
      <c r="P17" s="2"/>
    </row>
    <row r="18" spans="1:16">
      <c r="M18" s="1404" t="s">
        <v>1428</v>
      </c>
      <c r="N18" s="1404"/>
      <c r="O18" s="1404"/>
      <c r="P18" s="1404"/>
    </row>
  </sheetData>
  <mergeCells count="17">
    <mergeCell ref="M18:P18"/>
    <mergeCell ref="P5:P6"/>
    <mergeCell ref="A14:B14"/>
    <mergeCell ref="D15:P15"/>
    <mergeCell ref="M16:P16"/>
    <mergeCell ref="A17:L17"/>
    <mergeCell ref="A5:A6"/>
    <mergeCell ref="B5:B6"/>
    <mergeCell ref="C5:C6"/>
    <mergeCell ref="D5:G5"/>
    <mergeCell ref="H5:K5"/>
    <mergeCell ref="L5:O5"/>
    <mergeCell ref="G4:P4"/>
    <mergeCell ref="A1:B1"/>
    <mergeCell ref="D1:O1"/>
    <mergeCell ref="D2:O2"/>
    <mergeCell ref="A3:P3"/>
  </mergeCells>
  <pageMargins left="0.17" right="0.17" top="0.32" bottom="0.22" header="0.3" footer="0.3"/>
  <pageSetup paperSize="9" scale="9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2"/>
  <sheetViews>
    <sheetView topLeftCell="A10" zoomScale="94" zoomScaleNormal="94" workbookViewId="0">
      <selection activeCell="G17" sqref="G17"/>
    </sheetView>
  </sheetViews>
  <sheetFormatPr defaultColWidth="8.9140625" defaultRowHeight="14"/>
  <cols>
    <col min="1" max="1" width="4.9140625" style="31" customWidth="1"/>
    <col min="2" max="2" width="58.33203125" style="32" customWidth="1"/>
    <col min="3" max="3" width="8.4140625" style="32" customWidth="1"/>
    <col min="4" max="4" width="7.9140625" style="32" customWidth="1"/>
    <col min="5" max="5" width="15.08203125" style="32" customWidth="1"/>
    <col min="6" max="6" width="6.9140625" style="32" customWidth="1"/>
    <col min="7" max="7" width="14.08203125" style="32" customWidth="1"/>
    <col min="8" max="8" width="15.33203125" style="32" customWidth="1"/>
    <col min="9" max="9" width="15.9140625" customWidth="1"/>
    <col min="10" max="10" width="53.08203125" bestFit="1" customWidth="1"/>
  </cols>
  <sheetData>
    <row r="1" spans="1:14" ht="14.25" customHeight="1">
      <c r="A1" s="1413" t="s">
        <v>256</v>
      </c>
      <c r="B1" s="1413"/>
      <c r="C1" s="1297"/>
      <c r="D1" s="1297"/>
      <c r="E1" s="1297"/>
      <c r="F1" s="1297"/>
      <c r="G1" s="1297"/>
      <c r="H1" s="72"/>
      <c r="I1" s="73" t="s">
        <v>257</v>
      </c>
      <c r="J1" s="2"/>
      <c r="K1" s="24"/>
      <c r="L1" s="24"/>
      <c r="M1" s="24"/>
      <c r="N1" s="24"/>
    </row>
    <row r="2" spans="1:14">
      <c r="A2" s="1414" t="s">
        <v>808</v>
      </c>
      <c r="B2" s="1414"/>
      <c r="C2" s="1297"/>
      <c r="D2" s="1297"/>
      <c r="E2" s="1297"/>
      <c r="F2" s="1297"/>
      <c r="G2" s="1297"/>
      <c r="H2" s="72"/>
      <c r="I2" s="72"/>
      <c r="J2" s="2"/>
      <c r="K2" s="24"/>
      <c r="L2" s="24"/>
      <c r="M2" s="24"/>
      <c r="N2" s="24"/>
    </row>
    <row r="3" spans="1:14" ht="18.75" customHeight="1">
      <c r="A3" s="1302" t="s">
        <v>258</v>
      </c>
      <c r="B3" s="1302"/>
      <c r="C3" s="1302"/>
      <c r="D3" s="1302"/>
      <c r="E3" s="1302"/>
      <c r="F3" s="1302"/>
      <c r="G3" s="1302"/>
      <c r="H3" s="1302"/>
      <c r="I3" s="1302"/>
      <c r="J3" s="2"/>
      <c r="K3" s="24"/>
      <c r="L3" s="24"/>
      <c r="M3" s="24"/>
      <c r="N3" s="24"/>
    </row>
    <row r="4" spans="1:14" ht="14.5" thickBot="1">
      <c r="A4" s="74"/>
      <c r="B4" s="74"/>
      <c r="C4" s="74"/>
      <c r="D4" s="74"/>
      <c r="E4" s="74"/>
      <c r="F4" s="74"/>
      <c r="G4" s="74"/>
      <c r="H4" s="74"/>
      <c r="I4" s="75" t="s">
        <v>259</v>
      </c>
      <c r="J4" s="2"/>
      <c r="K4" s="24"/>
      <c r="L4" s="24"/>
      <c r="M4" s="24"/>
      <c r="N4" s="24"/>
    </row>
    <row r="5" spans="1:14" ht="75" customHeight="1" thickTop="1">
      <c r="A5" s="679" t="s">
        <v>5</v>
      </c>
      <c r="B5" s="680" t="s">
        <v>260</v>
      </c>
      <c r="C5" s="680" t="s">
        <v>261</v>
      </c>
      <c r="D5" s="680" t="s">
        <v>262</v>
      </c>
      <c r="E5" s="680" t="s">
        <v>263</v>
      </c>
      <c r="F5" s="680" t="s">
        <v>264</v>
      </c>
      <c r="G5" s="680" t="s">
        <v>265</v>
      </c>
      <c r="H5" s="680" t="s">
        <v>266</v>
      </c>
      <c r="I5" s="678" t="s">
        <v>16</v>
      </c>
      <c r="J5" s="2"/>
      <c r="K5" s="24"/>
      <c r="L5" s="24"/>
      <c r="M5" s="24"/>
      <c r="N5" s="24"/>
    </row>
    <row r="6" spans="1:14" ht="17.25" customHeight="1">
      <c r="A6" s="76" t="s">
        <v>17</v>
      </c>
      <c r="B6" s="77" t="s">
        <v>1368</v>
      </c>
      <c r="C6" s="78"/>
      <c r="D6" s="78"/>
      <c r="E6" s="78"/>
      <c r="F6" s="78"/>
      <c r="G6" s="78"/>
      <c r="H6" s="78"/>
      <c r="I6" s="79"/>
      <c r="J6" s="280"/>
      <c r="K6" s="24"/>
      <c r="L6" s="24"/>
      <c r="M6" s="24"/>
      <c r="N6" s="24"/>
    </row>
    <row r="7" spans="1:14" s="46" customFormat="1" ht="17.25" customHeight="1">
      <c r="A7" s="8">
        <v>1</v>
      </c>
      <c r="B7" s="571" t="s">
        <v>1135</v>
      </c>
      <c r="C7" s="81"/>
      <c r="D7" s="81"/>
      <c r="E7" s="82"/>
      <c r="F7" s="82"/>
      <c r="G7" s="82"/>
      <c r="H7" s="670">
        <f>'4c CTXH'!H6</f>
        <v>148590</v>
      </c>
      <c r="I7" s="83"/>
      <c r="J7" s="44"/>
      <c r="K7" s="45"/>
      <c r="L7" s="45"/>
      <c r="M7" s="45"/>
      <c r="N7" s="45"/>
    </row>
    <row r="8" spans="1:14" s="48" customFormat="1" ht="18.75" customHeight="1">
      <c r="A8" s="59" t="s">
        <v>178</v>
      </c>
      <c r="B8" s="60" t="s">
        <v>268</v>
      </c>
      <c r="C8" s="60"/>
      <c r="D8" s="60"/>
      <c r="E8" s="10"/>
      <c r="F8" s="10"/>
      <c r="G8" s="10"/>
      <c r="H8" s="10"/>
      <c r="I8" s="12"/>
      <c r="J8" s="47"/>
      <c r="K8" s="25"/>
      <c r="L8" s="25"/>
      <c r="M8" s="25"/>
      <c r="N8" s="25"/>
    </row>
    <row r="9" spans="1:14" s="48" customFormat="1" ht="18.75" customHeight="1">
      <c r="A9" s="63">
        <v>1</v>
      </c>
      <c r="B9" s="64" t="s">
        <v>877</v>
      </c>
      <c r="C9" s="60"/>
      <c r="D9" s="60"/>
      <c r="E9" s="10"/>
      <c r="F9" s="10"/>
      <c r="G9" s="10"/>
      <c r="H9" s="569">
        <f>'4.a LH'!H16</f>
        <v>256000</v>
      </c>
      <c r="I9" s="12"/>
      <c r="J9" s="47"/>
      <c r="K9" s="25"/>
      <c r="L9" s="25"/>
      <c r="M9" s="25"/>
      <c r="N9" s="25"/>
    </row>
    <row r="10" spans="1:14" s="48" customFormat="1" ht="18.75" customHeight="1">
      <c r="A10" s="63">
        <v>2</v>
      </c>
      <c r="B10" s="64" t="s">
        <v>744</v>
      </c>
      <c r="C10" s="60"/>
      <c r="D10" s="60"/>
      <c r="E10" s="10"/>
      <c r="F10" s="10"/>
      <c r="G10" s="10"/>
      <c r="H10" s="569">
        <f>'4.b LKT'!H16</f>
        <v>237319.99999999997</v>
      </c>
      <c r="I10" s="12"/>
      <c r="J10" s="47"/>
      <c r="K10" s="25"/>
      <c r="L10" s="25"/>
      <c r="M10" s="25"/>
      <c r="N10" s="25"/>
    </row>
    <row r="11" spans="1:14" s="48" customFormat="1" ht="18.75" customHeight="1">
      <c r="A11" s="63">
        <v>3</v>
      </c>
      <c r="B11" s="64" t="s">
        <v>1135</v>
      </c>
      <c r="C11" s="60"/>
      <c r="D11" s="60"/>
      <c r="E11" s="10"/>
      <c r="F11" s="10"/>
      <c r="G11" s="10"/>
      <c r="H11" s="570">
        <f>'4c CTXH'!H16</f>
        <v>76052</v>
      </c>
      <c r="I11" s="12"/>
      <c r="J11" s="47"/>
      <c r="K11" s="25"/>
      <c r="L11" s="25"/>
      <c r="M11" s="25"/>
      <c r="N11" s="25"/>
    </row>
    <row r="12" spans="1:14" s="48" customFormat="1" ht="18.75" customHeight="1">
      <c r="A12" s="63">
        <v>4</v>
      </c>
      <c r="B12" s="571" t="s">
        <v>879</v>
      </c>
      <c r="C12" s="81"/>
      <c r="D12" s="81"/>
      <c r="E12" s="10"/>
      <c r="F12" s="10"/>
      <c r="G12" s="10"/>
      <c r="H12" s="569">
        <f>'4D CT'!H16</f>
        <v>87380</v>
      </c>
      <c r="I12" s="12"/>
      <c r="J12" s="47"/>
      <c r="K12" s="25"/>
      <c r="L12" s="25"/>
      <c r="M12" s="25"/>
      <c r="N12" s="25"/>
    </row>
    <row r="13" spans="1:14" s="48" customFormat="1" ht="18.75" hidden="1" customHeight="1">
      <c r="A13" s="63">
        <v>5</v>
      </c>
      <c r="B13" s="81" t="s">
        <v>270</v>
      </c>
      <c r="C13" s="60"/>
      <c r="D13" s="60"/>
      <c r="E13" s="65"/>
      <c r="F13" s="65"/>
      <c r="G13" s="65"/>
      <c r="H13" s="669"/>
      <c r="I13" s="66"/>
      <c r="J13" s="47"/>
      <c r="K13" s="25"/>
      <c r="L13" s="25"/>
      <c r="M13" s="25"/>
      <c r="N13" s="25"/>
    </row>
    <row r="14" spans="1:14" s="48" customFormat="1" ht="29.4" customHeight="1">
      <c r="A14" s="63">
        <v>6</v>
      </c>
      <c r="B14" s="86" t="s">
        <v>1174</v>
      </c>
      <c r="C14" s="60"/>
      <c r="D14" s="60"/>
      <c r="E14" s="65"/>
      <c r="F14" s="65"/>
      <c r="G14" s="65"/>
      <c r="H14" s="669">
        <f>'4c CTXH'!H21</f>
        <v>8000</v>
      </c>
      <c r="I14" s="66"/>
      <c r="J14" s="47"/>
      <c r="K14" s="25"/>
      <c r="L14" s="25"/>
      <c r="M14" s="25"/>
      <c r="N14" s="25"/>
    </row>
    <row r="15" spans="1:14" s="48" customFormat="1" ht="28.4" customHeight="1">
      <c r="A15" s="63">
        <v>7</v>
      </c>
      <c r="B15" s="86" t="s">
        <v>1175</v>
      </c>
      <c r="C15" s="60"/>
      <c r="D15" s="60"/>
      <c r="E15" s="65"/>
      <c r="F15" s="65"/>
      <c r="G15" s="65"/>
      <c r="H15" s="669">
        <f>'4c CTXH'!H22</f>
        <v>8000</v>
      </c>
      <c r="I15" s="66"/>
      <c r="J15" s="47"/>
      <c r="K15" s="25"/>
      <c r="L15" s="25"/>
      <c r="M15" s="25"/>
      <c r="N15" s="25"/>
    </row>
    <row r="16" spans="1:14" s="48" customFormat="1" ht="27" customHeight="1">
      <c r="A16" s="63">
        <v>8</v>
      </c>
      <c r="B16" s="86" t="s">
        <v>1404</v>
      </c>
      <c r="C16" s="739" t="s">
        <v>1147</v>
      </c>
      <c r="D16" s="739"/>
      <c r="E16" s="739" t="s">
        <v>1359</v>
      </c>
      <c r="F16" s="739"/>
      <c r="G16" s="739"/>
      <c r="H16" s="740">
        <f>'4.a LH'!H21</f>
        <v>15000</v>
      </c>
      <c r="I16" s="66"/>
      <c r="J16" s="47"/>
      <c r="K16" s="25"/>
      <c r="L16" s="25"/>
      <c r="M16" s="25"/>
      <c r="N16" s="25"/>
    </row>
    <row r="17" spans="1:14" ht="26">
      <c r="A17" s="63">
        <v>9</v>
      </c>
      <c r="B17" s="86" t="s">
        <v>1405</v>
      </c>
      <c r="C17" s="739" t="s">
        <v>1147</v>
      </c>
      <c r="D17" s="739"/>
      <c r="E17" s="739" t="s">
        <v>1359</v>
      </c>
      <c r="F17" s="739"/>
      <c r="G17" s="739"/>
      <c r="H17" s="740">
        <f>'4.a LH'!H22</f>
        <v>15000</v>
      </c>
      <c r="I17" s="66"/>
      <c r="J17" s="2"/>
      <c r="K17" s="24"/>
      <c r="L17" s="24"/>
      <c r="M17" s="24"/>
      <c r="N17" s="24"/>
    </row>
    <row r="18" spans="1:14" ht="23.25" customHeight="1">
      <c r="A18" s="63">
        <v>10</v>
      </c>
      <c r="B18" s="64" t="s">
        <v>1369</v>
      </c>
      <c r="C18" s="739" t="s">
        <v>1147</v>
      </c>
      <c r="D18" s="739"/>
      <c r="E18" s="739" t="s">
        <v>1148</v>
      </c>
      <c r="F18" s="739"/>
      <c r="G18" s="739"/>
      <c r="H18" s="740">
        <f>'4D CT'!H24</f>
        <v>2000</v>
      </c>
      <c r="I18" s="66"/>
      <c r="J18" s="2"/>
      <c r="K18" s="24"/>
      <c r="L18" s="24"/>
      <c r="M18" s="24"/>
      <c r="N18" s="24"/>
    </row>
    <row r="19" spans="1:14" s="48" customFormat="1" ht="13">
      <c r="A19" s="63">
        <v>11</v>
      </c>
      <c r="B19" s="1237" t="s">
        <v>1406</v>
      </c>
      <c r="C19" s="1238" t="s">
        <v>1147</v>
      </c>
      <c r="D19" s="1238" t="s">
        <v>1407</v>
      </c>
      <c r="E19" s="1238" t="s">
        <v>1148</v>
      </c>
      <c r="F19" s="1238">
        <v>1</v>
      </c>
      <c r="G19" s="1238">
        <v>4</v>
      </c>
      <c r="H19" s="1239">
        <v>12000</v>
      </c>
      <c r="I19" s="1236"/>
      <c r="J19" s="47"/>
      <c r="K19" s="25"/>
      <c r="L19" s="25"/>
      <c r="M19" s="25"/>
      <c r="N19" s="25"/>
    </row>
    <row r="20" spans="1:14">
      <c r="A20" s="63">
        <v>12</v>
      </c>
      <c r="B20" s="64" t="s">
        <v>1361</v>
      </c>
      <c r="C20" s="739" t="s">
        <v>1147</v>
      </c>
      <c r="D20" s="739"/>
      <c r="E20" s="739" t="s">
        <v>1359</v>
      </c>
      <c r="F20" s="739"/>
      <c r="G20" s="739"/>
      <c r="H20" s="740">
        <v>30000</v>
      </c>
      <c r="I20" s="66"/>
      <c r="J20" s="2"/>
      <c r="K20" s="24"/>
      <c r="L20" s="24"/>
      <c r="M20" s="24"/>
      <c r="N20" s="24"/>
    </row>
    <row r="21" spans="1:14">
      <c r="A21" s="63">
        <v>13</v>
      </c>
      <c r="B21" s="64" t="s">
        <v>1360</v>
      </c>
      <c r="C21" s="739"/>
      <c r="D21" s="739"/>
      <c r="E21" s="739"/>
      <c r="F21" s="739"/>
      <c r="G21" s="739"/>
      <c r="H21" s="740">
        <v>24650</v>
      </c>
      <c r="I21" s="66"/>
      <c r="J21" s="2"/>
      <c r="K21" s="24"/>
      <c r="L21" s="24"/>
      <c r="M21" s="24"/>
      <c r="N21" s="24"/>
    </row>
    <row r="22" spans="1:14" ht="14.5" thickBot="1">
      <c r="A22" s="1411" t="s">
        <v>271</v>
      </c>
      <c r="B22" s="1412"/>
      <c r="C22" s="89"/>
      <c r="D22" s="89"/>
      <c r="E22" s="67"/>
      <c r="F22" s="67"/>
      <c r="G22" s="67"/>
      <c r="H22" s="574">
        <f>SUM(H7:H21)</f>
        <v>919992</v>
      </c>
      <c r="I22" s="68"/>
      <c r="J22" s="2"/>
      <c r="K22" s="24"/>
      <c r="L22" s="24"/>
      <c r="M22" s="24"/>
      <c r="N22" s="24"/>
    </row>
    <row r="23" spans="1:14" ht="14.5" thickTop="1">
      <c r="G23" s="1407" t="s">
        <v>42</v>
      </c>
      <c r="H23" s="1407"/>
      <c r="I23" s="1407"/>
      <c r="J23" s="2"/>
      <c r="K23" s="24"/>
      <c r="L23" s="24"/>
      <c r="M23" s="24"/>
      <c r="N23" s="24"/>
    </row>
    <row r="24" spans="1:14" hidden="1">
      <c r="A24" s="1408" t="s">
        <v>272</v>
      </c>
      <c r="B24" s="1408"/>
      <c r="C24" s="484"/>
      <c r="D24" s="484"/>
      <c r="E24" s="484"/>
      <c r="F24" s="484"/>
      <c r="G24" s="484"/>
      <c r="H24" s="1297" t="s">
        <v>1434</v>
      </c>
      <c r="I24" s="1297"/>
      <c r="J24" s="2"/>
      <c r="K24" s="24"/>
      <c r="L24" s="24"/>
      <c r="M24" s="24"/>
      <c r="N24" s="24"/>
    </row>
    <row r="25" spans="1:14" hidden="1">
      <c r="A25" s="1409" t="s">
        <v>273</v>
      </c>
      <c r="B25" s="1410"/>
      <c r="C25" s="1410"/>
      <c r="D25" s="1410"/>
      <c r="E25" s="1410"/>
      <c r="F25" s="1410"/>
      <c r="G25" s="1410"/>
      <c r="H25" s="1410"/>
      <c r="I25" s="1410"/>
      <c r="J25" s="2"/>
      <c r="K25" s="24"/>
      <c r="L25" s="24"/>
      <c r="M25" s="24"/>
      <c r="N25" s="24"/>
    </row>
    <row r="26" spans="1:14" hidden="1">
      <c r="A26" s="94" t="s">
        <v>274</v>
      </c>
      <c r="B26" s="1"/>
      <c r="C26" s="1"/>
      <c r="D26" s="1"/>
      <c r="E26" s="1"/>
      <c r="F26" s="1"/>
      <c r="G26" s="1"/>
      <c r="H26" s="1"/>
      <c r="I26" s="477"/>
      <c r="J26" s="2"/>
      <c r="K26" s="24"/>
      <c r="L26" s="24"/>
      <c r="M26" s="24"/>
      <c r="N26" s="24"/>
    </row>
    <row r="27" spans="1:14">
      <c r="A27" s="477"/>
      <c r="B27" s="1"/>
      <c r="C27" s="1"/>
      <c r="D27" s="1"/>
      <c r="E27" s="1"/>
      <c r="F27" s="1"/>
      <c r="G27" s="1368" t="s">
        <v>1427</v>
      </c>
      <c r="H27" s="1368"/>
      <c r="I27" s="1368"/>
      <c r="J27" s="2"/>
      <c r="K27" s="24"/>
      <c r="L27" s="24"/>
      <c r="M27" s="24"/>
      <c r="N27" s="24"/>
    </row>
    <row r="28" spans="1:14">
      <c r="A28" s="477"/>
      <c r="B28" s="1"/>
      <c r="C28" s="1"/>
      <c r="D28" s="1"/>
      <c r="E28" s="1"/>
      <c r="F28" s="1"/>
      <c r="G28" s="41"/>
      <c r="H28" s="41"/>
      <c r="I28" s="69"/>
      <c r="J28" s="2"/>
      <c r="K28" s="24"/>
      <c r="L28" s="24"/>
      <c r="M28" s="24"/>
      <c r="N28" s="24"/>
    </row>
    <row r="29" spans="1:14">
      <c r="A29" s="477"/>
      <c r="B29" s="1"/>
      <c r="C29" s="1"/>
      <c r="D29" s="1"/>
      <c r="E29" s="1"/>
      <c r="F29" s="1"/>
      <c r="G29" s="41"/>
      <c r="H29" s="41"/>
      <c r="I29" s="69"/>
      <c r="J29" s="2"/>
      <c r="K29" s="24"/>
      <c r="L29" s="24"/>
      <c r="M29" s="24"/>
      <c r="N29" s="24"/>
    </row>
    <row r="30" spans="1:14">
      <c r="A30" s="477"/>
      <c r="B30" s="1"/>
      <c r="C30" s="1"/>
      <c r="D30" s="1"/>
      <c r="E30" s="1"/>
      <c r="F30" s="1"/>
      <c r="G30" s="41"/>
      <c r="H30" s="41"/>
      <c r="I30" s="69"/>
      <c r="J30" s="2"/>
      <c r="K30" s="24"/>
      <c r="L30" s="24"/>
      <c r="M30" s="24"/>
      <c r="N30" s="24"/>
    </row>
    <row r="31" spans="1:14">
      <c r="A31" s="477"/>
      <c r="B31" s="1"/>
      <c r="C31" s="1"/>
      <c r="D31" s="1"/>
      <c r="E31" s="1"/>
      <c r="F31" s="1"/>
      <c r="G31" s="41"/>
      <c r="H31" s="41"/>
      <c r="I31" s="69"/>
      <c r="J31" s="2"/>
      <c r="K31" s="24"/>
      <c r="L31" s="24"/>
      <c r="M31" s="24"/>
      <c r="N31" s="24"/>
    </row>
    <row r="32" spans="1:14">
      <c r="A32" s="477"/>
      <c r="B32" s="1"/>
      <c r="C32" s="1"/>
      <c r="D32" s="1"/>
      <c r="E32" s="1"/>
      <c r="F32" s="1"/>
      <c r="G32" s="1368" t="s">
        <v>1428</v>
      </c>
      <c r="H32" s="1368"/>
      <c r="I32" s="1368"/>
      <c r="J32" s="2"/>
      <c r="K32" s="24"/>
      <c r="L32" s="24"/>
      <c r="M32" s="24"/>
      <c r="N32" s="24"/>
    </row>
    <row r="33" spans="1:14">
      <c r="A33" s="477"/>
      <c r="B33" s="1"/>
      <c r="C33" s="1"/>
      <c r="D33" s="1"/>
      <c r="E33" s="1"/>
      <c r="F33" s="1"/>
      <c r="G33" s="1"/>
      <c r="H33" s="1"/>
      <c r="I33" s="2"/>
      <c r="J33" s="2"/>
      <c r="K33" s="24"/>
      <c r="L33" s="24"/>
      <c r="M33" s="24"/>
      <c r="N33" s="24"/>
    </row>
    <row r="34" spans="1:14">
      <c r="A34" s="477"/>
      <c r="B34" s="1"/>
      <c r="C34" s="1"/>
      <c r="D34" s="1"/>
      <c r="E34" s="1"/>
      <c r="F34" s="1"/>
      <c r="G34" s="1"/>
      <c r="H34" s="1"/>
      <c r="I34" s="2"/>
      <c r="J34" s="2"/>
      <c r="K34" s="24"/>
      <c r="L34" s="24"/>
      <c r="M34" s="24"/>
      <c r="N34" s="24"/>
    </row>
    <row r="35" spans="1:14">
      <c r="A35" s="477"/>
      <c r="B35" s="1"/>
      <c r="C35" s="1"/>
      <c r="D35" s="1"/>
      <c r="E35" s="1"/>
      <c r="F35" s="1"/>
      <c r="G35" s="1"/>
      <c r="H35" s="1"/>
      <c r="I35" s="2"/>
      <c r="J35" s="2"/>
      <c r="K35" s="24"/>
      <c r="L35" s="24"/>
      <c r="M35" s="24"/>
      <c r="N35" s="24"/>
    </row>
    <row r="36" spans="1:14">
      <c r="A36" s="477"/>
      <c r="B36" s="1"/>
      <c r="C36" s="1"/>
      <c r="D36" s="1"/>
      <c r="E36" s="1"/>
      <c r="F36" s="1"/>
      <c r="G36" s="1"/>
      <c r="H36" s="1"/>
      <c r="I36" s="2"/>
      <c r="J36" s="2"/>
      <c r="K36" s="24"/>
      <c r="L36" s="24"/>
      <c r="M36" s="24"/>
      <c r="N36" s="24"/>
    </row>
    <row r="37" spans="1:14">
      <c r="A37" s="477"/>
      <c r="B37" s="1"/>
      <c r="C37" s="1"/>
      <c r="D37" s="1"/>
      <c r="E37" s="1"/>
      <c r="F37" s="1"/>
      <c r="G37" s="1"/>
      <c r="H37" s="1"/>
      <c r="I37" s="2"/>
      <c r="J37" s="2"/>
      <c r="K37" s="24"/>
      <c r="L37" s="24"/>
      <c r="M37" s="24"/>
      <c r="N37" s="24"/>
    </row>
    <row r="38" spans="1:14">
      <c r="A38" s="477"/>
      <c r="B38" s="1"/>
      <c r="C38" s="1"/>
      <c r="D38" s="1"/>
      <c r="E38" s="1"/>
      <c r="F38" s="1"/>
      <c r="G38" s="1"/>
      <c r="H38" s="1"/>
      <c r="I38" s="2"/>
      <c r="J38" s="2"/>
      <c r="K38" s="24"/>
      <c r="L38" s="24"/>
      <c r="M38" s="24"/>
      <c r="N38" s="24"/>
    </row>
    <row r="39" spans="1:14">
      <c r="A39" s="477"/>
      <c r="B39" s="1"/>
      <c r="C39" s="1"/>
      <c r="D39" s="1"/>
      <c r="E39" s="1"/>
      <c r="F39" s="1"/>
      <c r="G39" s="1"/>
      <c r="H39" s="1"/>
      <c r="I39" s="2"/>
      <c r="J39" s="2"/>
      <c r="K39" s="24"/>
      <c r="L39" s="24"/>
      <c r="M39" s="24"/>
      <c r="N39" s="24"/>
    </row>
    <row r="40" spans="1:14">
      <c r="A40" s="477"/>
      <c r="B40" s="1"/>
      <c r="C40" s="1"/>
      <c r="D40" s="1"/>
      <c r="E40" s="1"/>
      <c r="F40" s="1"/>
      <c r="G40" s="1"/>
      <c r="H40" s="1"/>
      <c r="I40" s="2"/>
      <c r="J40" s="2"/>
      <c r="K40" s="24"/>
      <c r="L40" s="24"/>
      <c r="M40" s="24"/>
      <c r="N40" s="24"/>
    </row>
    <row r="41" spans="1:14">
      <c r="A41" s="477"/>
      <c r="B41" s="1"/>
      <c r="C41" s="1"/>
      <c r="D41" s="1"/>
      <c r="E41" s="1"/>
      <c r="F41" s="1"/>
      <c r="G41" s="1"/>
      <c r="H41" s="1"/>
      <c r="I41" s="2"/>
      <c r="J41" s="2"/>
      <c r="K41" s="24"/>
      <c r="L41" s="24"/>
      <c r="M41" s="24"/>
      <c r="N41" s="24"/>
    </row>
    <row r="42" spans="1:14">
      <c r="A42" s="477"/>
      <c r="B42" s="1"/>
      <c r="C42" s="1"/>
      <c r="D42" s="1"/>
      <c r="E42" s="1"/>
      <c r="F42" s="1"/>
      <c r="G42" s="1"/>
      <c r="H42" s="1"/>
      <c r="I42" s="2"/>
      <c r="J42" s="2"/>
      <c r="K42" s="24"/>
      <c r="L42" s="24"/>
      <c r="M42" s="24"/>
      <c r="N42" s="24"/>
    </row>
    <row r="43" spans="1:14">
      <c r="A43" s="477"/>
      <c r="B43" s="1"/>
      <c r="C43" s="1"/>
      <c r="D43" s="1"/>
      <c r="E43" s="1"/>
      <c r="F43" s="1"/>
      <c r="G43" s="1"/>
      <c r="H43" s="1"/>
      <c r="I43" s="2"/>
      <c r="J43" s="2"/>
      <c r="K43" s="24"/>
      <c r="L43" s="24"/>
      <c r="M43" s="24"/>
      <c r="N43" s="24"/>
    </row>
    <row r="44" spans="1:14">
      <c r="A44" s="477"/>
      <c r="B44" s="1"/>
      <c r="C44" s="1"/>
      <c r="D44" s="1"/>
      <c r="E44" s="1"/>
      <c r="F44" s="1"/>
      <c r="G44" s="1"/>
      <c r="H44" s="1"/>
      <c r="I44" s="2"/>
      <c r="J44" s="24"/>
      <c r="K44" s="24"/>
      <c r="L44" s="24"/>
      <c r="M44" s="24"/>
      <c r="N44" s="24"/>
    </row>
    <row r="45" spans="1:14">
      <c r="A45" s="477"/>
      <c r="B45" s="1"/>
      <c r="C45" s="1"/>
      <c r="D45" s="1"/>
      <c r="E45" s="1"/>
      <c r="F45" s="1"/>
      <c r="G45" s="1"/>
      <c r="H45" s="1"/>
      <c r="I45" s="2"/>
    </row>
    <row r="46" spans="1:14">
      <c r="A46" s="477"/>
      <c r="B46" s="1"/>
      <c r="C46" s="1"/>
      <c r="D46" s="1"/>
      <c r="E46" s="1"/>
      <c r="F46" s="1"/>
      <c r="G46" s="1"/>
      <c r="H46" s="1"/>
      <c r="I46" s="2"/>
    </row>
    <row r="47" spans="1:14">
      <c r="A47" s="477"/>
      <c r="B47" s="1"/>
      <c r="C47" s="1"/>
      <c r="D47" s="1"/>
      <c r="E47" s="1"/>
      <c r="F47" s="1"/>
      <c r="G47" s="1"/>
      <c r="H47" s="1"/>
      <c r="I47" s="2"/>
    </row>
    <row r="48" spans="1:14">
      <c r="A48" s="477"/>
      <c r="B48" s="1"/>
      <c r="C48" s="1"/>
      <c r="D48" s="1"/>
      <c r="E48" s="1"/>
      <c r="F48" s="1"/>
      <c r="G48" s="1"/>
      <c r="H48" s="1"/>
      <c r="I48" s="2"/>
    </row>
    <row r="49" spans="1:9">
      <c r="A49" s="477"/>
      <c r="B49" s="1"/>
      <c r="C49" s="1"/>
      <c r="D49" s="1"/>
      <c r="E49" s="1"/>
      <c r="F49" s="1"/>
      <c r="G49" s="1"/>
      <c r="H49" s="1"/>
      <c r="I49" s="2"/>
    </row>
    <row r="50" spans="1:9">
      <c r="A50" s="477"/>
      <c r="B50" s="1"/>
      <c r="C50" s="1"/>
      <c r="D50" s="1"/>
      <c r="E50" s="1"/>
      <c r="F50" s="1"/>
      <c r="G50" s="1"/>
      <c r="H50" s="1"/>
      <c r="I50" s="2"/>
    </row>
    <row r="51" spans="1:9">
      <c r="A51" s="477"/>
      <c r="B51" s="1"/>
      <c r="C51" s="1"/>
      <c r="D51" s="1"/>
      <c r="E51" s="1"/>
      <c r="F51" s="1"/>
      <c r="G51" s="1"/>
      <c r="H51" s="1"/>
      <c r="I51" s="2"/>
    </row>
    <row r="52" spans="1:9">
      <c r="A52" s="29"/>
      <c r="B52" s="30"/>
      <c r="C52" s="30"/>
      <c r="D52" s="30"/>
      <c r="E52" s="30"/>
      <c r="F52" s="30"/>
      <c r="G52" s="30"/>
      <c r="H52" s="30"/>
      <c r="I52" s="24"/>
    </row>
  </sheetData>
  <mergeCells count="12">
    <mergeCell ref="A22:B22"/>
    <mergeCell ref="A1:B1"/>
    <mergeCell ref="C1:G1"/>
    <mergeCell ref="A2:B2"/>
    <mergeCell ref="C2:G2"/>
    <mergeCell ref="A3:I3"/>
    <mergeCell ref="G27:I27"/>
    <mergeCell ref="G23:I23"/>
    <mergeCell ref="G32:I32"/>
    <mergeCell ref="A24:B24"/>
    <mergeCell ref="H24:I24"/>
    <mergeCell ref="A25:I25"/>
  </mergeCells>
  <phoneticPr fontId="60" type="noConversion"/>
  <pageMargins left="0.51" right="0.17" top="0.31" bottom="0.75" header="0.3" footer="0.3"/>
  <pageSetup paperSize="9" scale="9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zoomScaleNormal="100" workbookViewId="0">
      <selection activeCell="I31" sqref="I31"/>
    </sheetView>
  </sheetViews>
  <sheetFormatPr defaultColWidth="8.9140625" defaultRowHeight="14"/>
  <cols>
    <col min="1" max="1" width="4.9140625" style="31" customWidth="1"/>
    <col min="2" max="2" width="52.08203125" style="32" customWidth="1"/>
    <col min="3" max="3" width="8.4140625" style="32" customWidth="1"/>
    <col min="4" max="4" width="7.9140625" style="32" customWidth="1"/>
    <col min="5" max="5" width="15.08203125" style="32" customWidth="1"/>
    <col min="6" max="6" width="6.9140625" style="32" customWidth="1"/>
    <col min="7" max="7" width="14.08203125" style="32" customWidth="1"/>
    <col min="8" max="8" width="12" style="32" customWidth="1"/>
    <col min="9" max="9" width="20.08203125" customWidth="1"/>
    <col min="10" max="10" width="53.08203125" bestFit="1" customWidth="1"/>
  </cols>
  <sheetData>
    <row r="1" spans="1:14" ht="14.25" customHeight="1">
      <c r="A1" s="1413" t="s">
        <v>1136</v>
      </c>
      <c r="B1" s="1413"/>
      <c r="C1" s="1297"/>
      <c r="D1" s="1297"/>
      <c r="E1" s="1297"/>
      <c r="F1" s="1297"/>
      <c r="G1" s="1297"/>
      <c r="H1" s="72"/>
      <c r="I1" s="73" t="s">
        <v>257</v>
      </c>
      <c r="J1" s="2"/>
      <c r="K1" s="24"/>
      <c r="L1" s="24"/>
      <c r="M1" s="24"/>
      <c r="N1" s="24"/>
    </row>
    <row r="2" spans="1:14">
      <c r="A2" s="1302" t="s">
        <v>1367</v>
      </c>
      <c r="B2" s="1302"/>
      <c r="C2" s="1297"/>
      <c r="D2" s="1297"/>
      <c r="E2" s="1297"/>
      <c r="F2" s="1297"/>
      <c r="G2" s="1297"/>
      <c r="H2" s="72"/>
      <c r="I2" s="72"/>
      <c r="J2" s="2"/>
      <c r="K2" s="24"/>
      <c r="L2" s="24"/>
      <c r="M2" s="24"/>
      <c r="N2" s="24"/>
    </row>
    <row r="3" spans="1:14" ht="27" customHeight="1">
      <c r="A3" s="1302" t="s">
        <v>258</v>
      </c>
      <c r="B3" s="1302"/>
      <c r="C3" s="1302"/>
      <c r="D3" s="1302"/>
      <c r="E3" s="1302"/>
      <c r="F3" s="1302"/>
      <c r="G3" s="1302"/>
      <c r="H3" s="1302"/>
      <c r="I3" s="1302"/>
      <c r="J3" s="2"/>
      <c r="K3" s="24"/>
      <c r="L3" s="24"/>
      <c r="M3" s="24"/>
      <c r="N3" s="24"/>
    </row>
    <row r="4" spans="1:14" ht="14.5" thickBot="1">
      <c r="A4" s="585"/>
      <c r="B4" s="585"/>
      <c r="C4" s="585"/>
      <c r="D4" s="585"/>
      <c r="E4" s="585"/>
      <c r="F4" s="585"/>
      <c r="G4" s="585"/>
      <c r="H4" s="585"/>
      <c r="I4" s="818" t="s">
        <v>259</v>
      </c>
      <c r="J4" s="2"/>
      <c r="K4" s="24"/>
      <c r="L4" s="24"/>
      <c r="M4" s="24"/>
      <c r="N4" s="24"/>
    </row>
    <row r="5" spans="1:14" ht="75" customHeight="1">
      <c r="A5" s="819" t="s">
        <v>5</v>
      </c>
      <c r="B5" s="820" t="s">
        <v>260</v>
      </c>
      <c r="C5" s="820" t="s">
        <v>261</v>
      </c>
      <c r="D5" s="820" t="s">
        <v>262</v>
      </c>
      <c r="E5" s="820" t="s">
        <v>263</v>
      </c>
      <c r="F5" s="820" t="s">
        <v>264</v>
      </c>
      <c r="G5" s="820" t="s">
        <v>265</v>
      </c>
      <c r="H5" s="820" t="s">
        <v>266</v>
      </c>
      <c r="I5" s="821" t="s">
        <v>16</v>
      </c>
      <c r="J5" s="2"/>
      <c r="K5" s="24"/>
      <c r="L5" s="24"/>
      <c r="M5" s="24"/>
      <c r="N5" s="24"/>
    </row>
    <row r="6" spans="1:14" ht="17.25" customHeight="1">
      <c r="A6" s="822" t="s">
        <v>17</v>
      </c>
      <c r="B6" s="77" t="s">
        <v>267</v>
      </c>
      <c r="C6" s="78"/>
      <c r="D6" s="78"/>
      <c r="E6" s="78"/>
      <c r="F6" s="78"/>
      <c r="G6" s="78"/>
      <c r="H6" s="78"/>
      <c r="I6" s="823"/>
      <c r="J6" s="280"/>
      <c r="K6" s="24"/>
      <c r="L6" s="24"/>
      <c r="M6" s="24"/>
      <c r="N6" s="24"/>
    </row>
    <row r="7" spans="1:14" s="46" customFormat="1" ht="17.25" hidden="1" customHeight="1">
      <c r="A7" s="824" t="s">
        <v>19</v>
      </c>
      <c r="B7" s="81" t="s">
        <v>616</v>
      </c>
      <c r="C7" s="81"/>
      <c r="D7" s="81"/>
      <c r="E7" s="82"/>
      <c r="F7" s="82"/>
      <c r="G7" s="82"/>
      <c r="H7" s="82"/>
      <c r="I7" s="825"/>
      <c r="J7" s="44"/>
      <c r="K7" s="45"/>
      <c r="L7" s="45"/>
      <c r="M7" s="45"/>
      <c r="N7" s="45"/>
    </row>
    <row r="8" spans="1:14" s="46" customFormat="1" ht="15.75" hidden="1" customHeight="1">
      <c r="A8" s="826"/>
      <c r="B8" s="64"/>
      <c r="C8" s="64"/>
      <c r="D8" s="64"/>
      <c r="E8" s="61"/>
      <c r="F8" s="61"/>
      <c r="G8" s="61"/>
      <c r="H8" s="61"/>
      <c r="I8" s="827"/>
      <c r="J8" s="44"/>
      <c r="K8" s="45"/>
      <c r="L8" s="45"/>
      <c r="M8" s="45"/>
      <c r="N8" s="45"/>
    </row>
    <row r="9" spans="1:14" s="46" customFormat="1" ht="15.75" hidden="1" customHeight="1">
      <c r="A9" s="826"/>
      <c r="B9" s="64"/>
      <c r="C9" s="64"/>
      <c r="D9" s="64"/>
      <c r="E9" s="61"/>
      <c r="F9" s="61"/>
      <c r="G9" s="61"/>
      <c r="H9" s="61"/>
      <c r="I9" s="827"/>
      <c r="J9" s="44"/>
      <c r="K9" s="45"/>
      <c r="L9" s="45"/>
      <c r="M9" s="45"/>
      <c r="N9" s="45"/>
    </row>
    <row r="10" spans="1:14" s="46" customFormat="1" ht="15.75" hidden="1" customHeight="1">
      <c r="A10" s="826"/>
      <c r="B10" s="64"/>
      <c r="C10" s="64"/>
      <c r="D10" s="64"/>
      <c r="E10" s="61"/>
      <c r="F10" s="61"/>
      <c r="G10" s="61"/>
      <c r="H10" s="61"/>
      <c r="I10" s="827"/>
      <c r="J10" s="44"/>
      <c r="K10" s="45"/>
      <c r="L10" s="45"/>
      <c r="M10" s="45"/>
      <c r="N10" s="45"/>
    </row>
    <row r="11" spans="1:14" s="46" customFormat="1" ht="15.75" hidden="1" customHeight="1">
      <c r="A11" s="828" t="s">
        <v>41</v>
      </c>
      <c r="B11" s="81" t="s">
        <v>877</v>
      </c>
      <c r="C11" s="60"/>
      <c r="D11" s="60"/>
      <c r="E11" s="65"/>
      <c r="F11" s="65"/>
      <c r="G11" s="65"/>
      <c r="H11" s="65"/>
      <c r="I11" s="829"/>
      <c r="J11" s="44"/>
      <c r="K11" s="45"/>
      <c r="L11" s="45"/>
      <c r="M11" s="45"/>
      <c r="N11" s="45"/>
    </row>
    <row r="12" spans="1:14" s="46" customFormat="1" ht="15.75" hidden="1" customHeight="1">
      <c r="A12" s="826">
        <v>1</v>
      </c>
      <c r="B12" s="64"/>
      <c r="C12" s="64"/>
      <c r="D12" s="64"/>
      <c r="E12" s="65"/>
      <c r="F12" s="65"/>
      <c r="G12" s="65"/>
      <c r="H12" s="65"/>
      <c r="I12" s="829"/>
      <c r="J12" s="44"/>
      <c r="K12" s="45"/>
      <c r="L12" s="45"/>
      <c r="M12" s="45"/>
      <c r="N12" s="45"/>
    </row>
    <row r="13" spans="1:14" s="46" customFormat="1" ht="15.75" hidden="1" customHeight="1">
      <c r="A13" s="826">
        <v>2</v>
      </c>
      <c r="B13" s="64"/>
      <c r="C13" s="64"/>
      <c r="D13" s="64"/>
      <c r="E13" s="65"/>
      <c r="F13" s="65"/>
      <c r="G13" s="65"/>
      <c r="H13" s="65"/>
      <c r="I13" s="829"/>
      <c r="J13" s="44"/>
      <c r="K13" s="45"/>
      <c r="L13" s="45"/>
      <c r="M13" s="45"/>
      <c r="N13" s="45"/>
    </row>
    <row r="14" spans="1:14" s="46" customFormat="1" ht="15.75" hidden="1" customHeight="1">
      <c r="A14" s="826"/>
      <c r="B14" s="64"/>
      <c r="C14" s="64"/>
      <c r="D14" s="64"/>
      <c r="E14" s="65"/>
      <c r="F14" s="65"/>
      <c r="G14" s="65"/>
      <c r="H14" s="65"/>
      <c r="I14" s="829"/>
      <c r="J14" s="44"/>
      <c r="K14" s="45"/>
      <c r="L14" s="45"/>
      <c r="M14" s="45"/>
      <c r="N14" s="45"/>
    </row>
    <row r="15" spans="1:14" s="48" customFormat="1" ht="18.75" customHeight="1">
      <c r="A15" s="828" t="s">
        <v>178</v>
      </c>
      <c r="B15" s="60" t="s">
        <v>268</v>
      </c>
      <c r="C15" s="60"/>
      <c r="D15" s="60"/>
      <c r="E15" s="10"/>
      <c r="F15" s="10"/>
      <c r="G15" s="10"/>
      <c r="H15" s="10"/>
      <c r="I15" s="830"/>
      <c r="J15" s="47"/>
      <c r="K15" s="25"/>
      <c r="L15" s="25"/>
      <c r="M15" s="25"/>
      <c r="N15" s="25"/>
    </row>
    <row r="16" spans="1:14" s="48" customFormat="1" ht="18.75" customHeight="1">
      <c r="A16" s="831" t="s">
        <v>19</v>
      </c>
      <c r="B16" s="81" t="s">
        <v>269</v>
      </c>
      <c r="C16" s="81"/>
      <c r="D16" s="81"/>
      <c r="E16" s="10"/>
      <c r="F16" s="10"/>
      <c r="G16" s="10"/>
      <c r="H16" s="661">
        <f>SUM(H17:H19)</f>
        <v>256000</v>
      </c>
      <c r="I16" s="830"/>
      <c r="J16" s="47"/>
      <c r="K16" s="25"/>
      <c r="L16" s="25"/>
      <c r="M16" s="25"/>
      <c r="N16" s="25"/>
    </row>
    <row r="17" spans="1:14" s="48" customFormat="1" ht="18.75" customHeight="1">
      <c r="A17" s="831"/>
      <c r="B17" s="571" t="s">
        <v>1137</v>
      </c>
      <c r="C17" s="571" t="s">
        <v>1138</v>
      </c>
      <c r="D17" s="571" t="s">
        <v>1139</v>
      </c>
      <c r="E17" s="10"/>
      <c r="F17" s="10">
        <v>8</v>
      </c>
      <c r="G17" s="10"/>
      <c r="H17" s="660">
        <f>98*340*1.4*5</f>
        <v>233240</v>
      </c>
      <c r="I17" s="830"/>
      <c r="J17" s="47"/>
      <c r="K17" s="25"/>
      <c r="L17" s="25"/>
      <c r="M17" s="25"/>
      <c r="N17" s="25"/>
    </row>
    <row r="18" spans="1:14" s="48" customFormat="1" ht="28.5" customHeight="1">
      <c r="A18" s="831"/>
      <c r="B18" s="571" t="s">
        <v>1140</v>
      </c>
      <c r="C18" s="571" t="s">
        <v>1138</v>
      </c>
      <c r="D18" s="571" t="s">
        <v>1141</v>
      </c>
      <c r="E18" s="10"/>
      <c r="F18" s="10"/>
      <c r="G18" s="10"/>
      <c r="H18" s="1249">
        <f>388*20</f>
        <v>7760</v>
      </c>
      <c r="I18" s="830"/>
      <c r="J18" s="47"/>
      <c r="K18" s="25"/>
      <c r="L18" s="25"/>
      <c r="M18" s="25"/>
      <c r="N18" s="25"/>
    </row>
    <row r="19" spans="1:14" s="48" customFormat="1" ht="33" customHeight="1">
      <c r="A19" s="831"/>
      <c r="B19" s="571" t="s">
        <v>1142</v>
      </c>
      <c r="C19" s="571" t="s">
        <v>1138</v>
      </c>
      <c r="D19" s="571" t="s">
        <v>1143</v>
      </c>
      <c r="E19" s="10"/>
      <c r="F19" s="10"/>
      <c r="G19" s="10" t="s">
        <v>1144</v>
      </c>
      <c r="H19" s="660">
        <v>15000</v>
      </c>
      <c r="I19" s="830"/>
      <c r="J19" s="47"/>
      <c r="K19" s="25"/>
      <c r="L19" s="25"/>
      <c r="M19" s="25"/>
      <c r="N19" s="25"/>
    </row>
    <row r="20" spans="1:14" s="48" customFormat="1" ht="18" customHeight="1">
      <c r="A20" s="831" t="s">
        <v>41</v>
      </c>
      <c r="B20" s="81" t="s">
        <v>270</v>
      </c>
      <c r="C20" s="81"/>
      <c r="D20" s="81"/>
      <c r="E20" s="10"/>
      <c r="F20" s="10"/>
      <c r="G20" s="10"/>
      <c r="H20" s="661">
        <f>SUM(H21:H22)</f>
        <v>30000</v>
      </c>
      <c r="I20" s="830"/>
      <c r="J20" s="47"/>
      <c r="K20" s="25"/>
      <c r="L20" s="25"/>
      <c r="M20" s="25"/>
      <c r="N20" s="25"/>
    </row>
    <row r="21" spans="1:14" s="48" customFormat="1" ht="40.4" customHeight="1">
      <c r="A21" s="832"/>
      <c r="B21" s="86" t="s">
        <v>1404</v>
      </c>
      <c r="C21" s="571" t="s">
        <v>1138</v>
      </c>
      <c r="D21" s="573"/>
      <c r="E21" s="87"/>
      <c r="F21" s="87">
        <v>8</v>
      </c>
      <c r="G21" s="87"/>
      <c r="H21" s="572">
        <v>15000</v>
      </c>
      <c r="I21" s="833"/>
      <c r="J21" s="47"/>
      <c r="K21" s="25"/>
      <c r="L21" s="25"/>
      <c r="M21" s="25"/>
      <c r="N21" s="25"/>
    </row>
    <row r="22" spans="1:14" s="48" customFormat="1" ht="30.75" customHeight="1">
      <c r="A22" s="834"/>
      <c r="B22" s="86" t="s">
        <v>1405</v>
      </c>
      <c r="C22" s="571" t="s">
        <v>1138</v>
      </c>
      <c r="D22" s="86"/>
      <c r="E22" s="87"/>
      <c r="F22" s="87">
        <v>8</v>
      </c>
      <c r="G22" s="87"/>
      <c r="H22" s="572">
        <v>15000</v>
      </c>
      <c r="I22" s="833"/>
      <c r="J22" s="47"/>
      <c r="K22" s="25"/>
      <c r="L22" s="25"/>
      <c r="M22" s="25"/>
      <c r="N22" s="25"/>
    </row>
    <row r="23" spans="1:14" s="48" customFormat="1" ht="18" customHeight="1" thickBot="1">
      <c r="A23" s="1415" t="s">
        <v>271</v>
      </c>
      <c r="B23" s="1416"/>
      <c r="C23" s="835"/>
      <c r="D23" s="835"/>
      <c r="E23" s="836"/>
      <c r="F23" s="836"/>
      <c r="G23" s="836"/>
      <c r="H23" s="837">
        <f>H20+H16</f>
        <v>286000</v>
      </c>
      <c r="I23" s="838"/>
      <c r="J23" s="47"/>
      <c r="K23" s="25"/>
      <c r="L23" s="25"/>
      <c r="M23" s="25"/>
      <c r="N23" s="25"/>
    </row>
    <row r="24" spans="1:14">
      <c r="A24" s="90"/>
      <c r="B24" s="91"/>
      <c r="C24" s="91"/>
      <c r="D24" s="91"/>
      <c r="E24" s="91"/>
      <c r="F24" s="91"/>
      <c r="G24" s="91"/>
      <c r="H24" s="91"/>
      <c r="I24" s="92"/>
      <c r="J24" s="2"/>
      <c r="K24" s="24"/>
      <c r="L24" s="24"/>
      <c r="M24" s="24"/>
      <c r="N24" s="24"/>
    </row>
    <row r="25" spans="1:14" ht="15" customHeight="1">
      <c r="F25" s="1407" t="s">
        <v>42</v>
      </c>
      <c r="G25" s="1407"/>
      <c r="H25" s="1407"/>
      <c r="I25" s="1407"/>
      <c r="J25" s="93"/>
      <c r="K25" s="93"/>
      <c r="L25" s="24"/>
      <c r="M25" s="24"/>
      <c r="N25" s="24"/>
    </row>
    <row r="26" spans="1:14" ht="15" customHeight="1">
      <c r="A26" s="1408"/>
      <c r="B26" s="1408"/>
      <c r="C26" s="484"/>
      <c r="D26" s="484"/>
      <c r="E26" s="484"/>
      <c r="F26" s="1297" t="s">
        <v>1429</v>
      </c>
      <c r="G26" s="1297"/>
      <c r="H26" s="1297"/>
      <c r="I26" s="1297"/>
      <c r="J26" s="41"/>
      <c r="K26" s="41"/>
      <c r="L26" s="24"/>
      <c r="M26" s="24"/>
      <c r="N26" s="24"/>
    </row>
    <row r="27" spans="1:14" ht="52.5" hidden="1" customHeight="1">
      <c r="A27" s="1409" t="s">
        <v>273</v>
      </c>
      <c r="B27" s="1410"/>
      <c r="C27" s="1410"/>
      <c r="D27" s="1410"/>
      <c r="E27" s="1410"/>
      <c r="F27" s="1410"/>
      <c r="G27" s="1410"/>
      <c r="H27" s="1410"/>
      <c r="I27" s="1410"/>
      <c r="J27" s="2"/>
      <c r="K27" s="24"/>
      <c r="L27" s="24"/>
      <c r="M27" s="24"/>
      <c r="N27" s="24"/>
    </row>
    <row r="28" spans="1:14" hidden="1">
      <c r="A28" s="94" t="s">
        <v>274</v>
      </c>
      <c r="B28" s="1"/>
      <c r="C28" s="1"/>
      <c r="D28" s="1"/>
      <c r="E28" s="1"/>
      <c r="F28" s="1"/>
      <c r="G28" s="1"/>
      <c r="J28" s="2"/>
      <c r="K28" s="24"/>
      <c r="L28" s="24"/>
      <c r="M28" s="24"/>
      <c r="N28" s="24"/>
    </row>
    <row r="29" spans="1:14">
      <c r="A29" s="477"/>
      <c r="B29" s="1"/>
      <c r="C29" s="1"/>
      <c r="D29" s="1"/>
      <c r="E29" s="1"/>
      <c r="F29" s="1"/>
      <c r="G29" s="1"/>
      <c r="H29" s="1"/>
      <c r="I29" s="2"/>
      <c r="J29" s="2"/>
      <c r="K29" s="24"/>
      <c r="L29" s="24"/>
      <c r="M29" s="24"/>
      <c r="N29" s="24"/>
    </row>
    <row r="30" spans="1:14">
      <c r="A30" s="477"/>
      <c r="B30" s="1"/>
      <c r="C30" s="1"/>
      <c r="D30" s="1"/>
      <c r="E30" s="1"/>
      <c r="F30" s="1"/>
      <c r="G30" s="1"/>
      <c r="H30" s="1"/>
      <c r="I30" s="2"/>
      <c r="J30" s="2"/>
      <c r="K30" s="24"/>
      <c r="L30" s="24"/>
      <c r="M30" s="24"/>
      <c r="N30" s="24"/>
    </row>
    <row r="31" spans="1:14">
      <c r="A31" s="477"/>
      <c r="B31" s="1"/>
      <c r="C31" s="1"/>
      <c r="D31" s="1"/>
      <c r="E31" s="1"/>
      <c r="F31" s="1"/>
      <c r="G31" s="1"/>
      <c r="H31" s="1"/>
      <c r="I31" s="2"/>
      <c r="J31" s="2"/>
      <c r="K31" s="24"/>
      <c r="L31" s="24"/>
      <c r="M31" s="24"/>
      <c r="N31" s="24"/>
    </row>
    <row r="32" spans="1:14" ht="13.5" customHeight="1">
      <c r="A32" s="477"/>
      <c r="B32" s="1"/>
      <c r="C32" s="1"/>
      <c r="D32" s="1"/>
      <c r="E32" s="1"/>
      <c r="F32" s="1368" t="s">
        <v>1342</v>
      </c>
      <c r="G32" s="1368"/>
      <c r="H32" s="1368"/>
      <c r="I32" s="1368"/>
      <c r="J32" s="2"/>
      <c r="K32" s="24"/>
      <c r="L32" s="24"/>
      <c r="M32" s="24"/>
      <c r="N32" s="24"/>
    </row>
    <row r="33" spans="1:14">
      <c r="A33" s="477"/>
      <c r="B33" s="1"/>
      <c r="C33" s="1"/>
      <c r="D33" s="1"/>
      <c r="E33" s="1"/>
      <c r="F33" s="1"/>
      <c r="G33" s="1"/>
      <c r="H33" s="1"/>
      <c r="I33" s="2"/>
      <c r="J33" s="2"/>
      <c r="K33" s="24"/>
      <c r="L33" s="24"/>
      <c r="M33" s="24"/>
      <c r="N33" s="24"/>
    </row>
    <row r="34" spans="1:14">
      <c r="A34" s="477"/>
      <c r="B34" s="1"/>
      <c r="C34" s="1"/>
      <c r="D34" s="1"/>
      <c r="E34" s="1"/>
      <c r="F34" s="1"/>
      <c r="G34" s="1"/>
      <c r="H34" s="1"/>
      <c r="I34" s="2"/>
      <c r="J34" s="2"/>
      <c r="K34" s="24"/>
      <c r="L34" s="24"/>
      <c r="M34" s="24"/>
      <c r="N34" s="24"/>
    </row>
    <row r="35" spans="1:14">
      <c r="A35" s="477"/>
      <c r="B35" s="1"/>
      <c r="C35" s="1"/>
      <c r="D35" s="1"/>
      <c r="E35" s="1"/>
      <c r="F35" s="1"/>
      <c r="G35" s="1"/>
      <c r="H35" s="1"/>
      <c r="I35" s="2"/>
      <c r="J35" s="2"/>
      <c r="K35" s="24"/>
      <c r="L35" s="24"/>
      <c r="M35" s="24"/>
      <c r="N35" s="24"/>
    </row>
    <row r="36" spans="1:14">
      <c r="A36" s="477"/>
      <c r="B36" s="1"/>
      <c r="C36" s="1"/>
      <c r="D36" s="1"/>
      <c r="E36" s="1"/>
      <c r="F36" s="1"/>
      <c r="G36" s="1"/>
      <c r="H36" s="1"/>
      <c r="I36" s="2"/>
      <c r="J36" s="2"/>
      <c r="K36" s="24"/>
      <c r="L36" s="24"/>
      <c r="M36" s="24"/>
      <c r="N36" s="24"/>
    </row>
    <row r="37" spans="1:14">
      <c r="A37" s="477"/>
      <c r="B37" s="1"/>
      <c r="C37" s="1"/>
      <c r="D37" s="1"/>
      <c r="E37" s="1"/>
      <c r="F37" s="1"/>
      <c r="G37" s="1"/>
      <c r="H37" s="1"/>
      <c r="I37" s="2"/>
      <c r="J37" s="2"/>
      <c r="K37" s="24"/>
      <c r="L37" s="24"/>
      <c r="M37" s="24"/>
      <c r="N37" s="24"/>
    </row>
    <row r="38" spans="1:14">
      <c r="A38" s="477"/>
      <c r="B38" s="1"/>
      <c r="C38" s="1"/>
      <c r="D38" s="1"/>
      <c r="E38" s="1"/>
      <c r="F38" s="1"/>
      <c r="G38" s="1"/>
      <c r="H38" s="1"/>
      <c r="I38" s="2"/>
      <c r="J38" s="2"/>
      <c r="K38" s="24"/>
      <c r="L38" s="24"/>
      <c r="M38" s="24"/>
      <c r="N38" s="24"/>
    </row>
    <row r="39" spans="1:14">
      <c r="A39" s="477"/>
      <c r="B39" s="1"/>
      <c r="C39" s="1"/>
      <c r="D39" s="1"/>
      <c r="E39" s="1"/>
      <c r="F39" s="1"/>
      <c r="G39" s="1"/>
      <c r="H39" s="1"/>
      <c r="I39" s="2"/>
      <c r="J39" s="2"/>
      <c r="K39" s="24"/>
      <c r="L39" s="24"/>
      <c r="M39" s="24"/>
      <c r="N39" s="24"/>
    </row>
    <row r="40" spans="1:14">
      <c r="A40" s="477"/>
      <c r="B40" s="1"/>
      <c r="C40" s="1"/>
      <c r="D40" s="1"/>
      <c r="E40" s="1"/>
      <c r="F40" s="1"/>
      <c r="G40" s="1"/>
      <c r="H40" s="1"/>
      <c r="I40" s="2"/>
      <c r="J40" s="2"/>
      <c r="K40" s="24"/>
      <c r="L40" s="24"/>
      <c r="M40" s="24"/>
      <c r="N40" s="24"/>
    </row>
    <row r="41" spans="1:14">
      <c r="A41" s="477"/>
      <c r="B41" s="1"/>
      <c r="C41" s="1"/>
      <c r="D41" s="1"/>
      <c r="E41" s="1"/>
      <c r="F41" s="1"/>
      <c r="G41" s="1"/>
      <c r="H41" s="1"/>
      <c r="I41" s="2"/>
      <c r="J41" s="2"/>
      <c r="K41" s="24"/>
      <c r="L41" s="24"/>
      <c r="M41" s="24"/>
      <c r="N41" s="24"/>
    </row>
    <row r="42" spans="1:14">
      <c r="A42" s="477"/>
      <c r="B42" s="1"/>
      <c r="C42" s="1"/>
      <c r="D42" s="1"/>
      <c r="E42" s="1"/>
      <c r="F42" s="1"/>
      <c r="G42" s="1"/>
      <c r="H42" s="1"/>
      <c r="I42" s="2"/>
      <c r="J42" s="2"/>
      <c r="K42" s="24"/>
      <c r="L42" s="24"/>
      <c r="M42" s="24"/>
      <c r="N42" s="24"/>
    </row>
    <row r="43" spans="1:14">
      <c r="A43" s="477"/>
      <c r="B43" s="1"/>
      <c r="C43" s="1"/>
      <c r="D43" s="1"/>
      <c r="E43" s="1"/>
      <c r="F43" s="1"/>
      <c r="G43" s="1"/>
      <c r="H43" s="1"/>
      <c r="I43" s="2"/>
      <c r="J43" s="2"/>
      <c r="K43" s="24"/>
      <c r="L43" s="24"/>
      <c r="M43" s="24"/>
      <c r="N43" s="24"/>
    </row>
    <row r="44" spans="1:14">
      <c r="A44" s="477"/>
      <c r="B44" s="1"/>
      <c r="C44" s="1"/>
      <c r="D44" s="1"/>
      <c r="E44" s="1"/>
      <c r="F44" s="1"/>
      <c r="G44" s="1"/>
      <c r="H44" s="1"/>
      <c r="I44" s="2"/>
      <c r="J44" s="2"/>
      <c r="K44" s="24"/>
      <c r="L44" s="24"/>
      <c r="M44" s="24"/>
      <c r="N44" s="24"/>
    </row>
    <row r="45" spans="1:14">
      <c r="A45" s="477"/>
      <c r="B45" s="1"/>
      <c r="C45" s="1"/>
      <c r="D45" s="1"/>
      <c r="E45" s="1"/>
      <c r="F45" s="1"/>
      <c r="G45" s="1"/>
      <c r="H45" s="1"/>
      <c r="I45" s="2"/>
      <c r="J45" s="2"/>
      <c r="K45" s="24"/>
      <c r="L45" s="24"/>
      <c r="M45" s="24"/>
      <c r="N45" s="24"/>
    </row>
    <row r="46" spans="1:14">
      <c r="A46" s="477"/>
      <c r="B46" s="1"/>
      <c r="C46" s="1"/>
      <c r="D46" s="1"/>
      <c r="E46" s="1"/>
      <c r="F46" s="1"/>
      <c r="G46" s="1"/>
      <c r="H46" s="1"/>
      <c r="I46" s="2"/>
      <c r="J46" s="2"/>
      <c r="K46" s="24"/>
      <c r="L46" s="24"/>
      <c r="M46" s="24"/>
      <c r="N46" s="24"/>
    </row>
    <row r="47" spans="1:14">
      <c r="A47" s="477"/>
      <c r="B47" s="1"/>
      <c r="C47" s="1"/>
      <c r="D47" s="1"/>
      <c r="E47" s="1"/>
      <c r="F47" s="1"/>
      <c r="G47" s="1"/>
      <c r="H47" s="1"/>
      <c r="I47" s="2"/>
      <c r="J47" s="2"/>
      <c r="K47" s="24"/>
      <c r="L47" s="24"/>
      <c r="M47" s="24"/>
      <c r="N47" s="24"/>
    </row>
    <row r="48" spans="1:14">
      <c r="A48" s="477"/>
      <c r="B48" s="1"/>
      <c r="C48" s="1"/>
      <c r="D48" s="1"/>
      <c r="E48" s="1"/>
      <c r="F48" s="1"/>
      <c r="G48" s="1"/>
      <c r="H48" s="1"/>
      <c r="I48" s="2"/>
      <c r="J48" s="2"/>
      <c r="K48" s="24"/>
      <c r="L48" s="24"/>
      <c r="M48" s="24"/>
      <c r="N48" s="24"/>
    </row>
    <row r="49" spans="1:14">
      <c r="A49" s="477"/>
      <c r="B49" s="1"/>
      <c r="C49" s="1"/>
      <c r="D49" s="1"/>
      <c r="E49" s="1"/>
      <c r="F49" s="1"/>
      <c r="G49" s="1"/>
      <c r="H49" s="1"/>
      <c r="I49" s="2"/>
      <c r="J49" s="2"/>
      <c r="K49" s="24"/>
      <c r="L49" s="24"/>
      <c r="M49" s="24"/>
      <c r="N49" s="24"/>
    </row>
    <row r="50" spans="1:14">
      <c r="A50" s="477"/>
      <c r="B50" s="1"/>
      <c r="C50" s="1"/>
      <c r="D50" s="1"/>
      <c r="E50" s="1"/>
      <c r="F50" s="1"/>
      <c r="G50" s="1"/>
      <c r="H50" s="1"/>
      <c r="I50" s="2"/>
      <c r="J50" s="2"/>
      <c r="K50" s="24"/>
      <c r="L50" s="24"/>
      <c r="M50" s="24"/>
      <c r="N50" s="24"/>
    </row>
    <row r="51" spans="1:14">
      <c r="A51" s="477"/>
      <c r="B51" s="1"/>
      <c r="C51" s="1"/>
      <c r="D51" s="1"/>
      <c r="E51" s="1"/>
      <c r="F51" s="1"/>
      <c r="G51" s="1"/>
      <c r="H51" s="1"/>
      <c r="I51" s="2"/>
      <c r="J51" s="2"/>
      <c r="K51" s="24"/>
      <c r="L51" s="24"/>
      <c r="M51" s="24"/>
      <c r="N51" s="24"/>
    </row>
    <row r="52" spans="1:14">
      <c r="A52" s="477"/>
      <c r="B52" s="1"/>
      <c r="C52" s="1"/>
      <c r="D52" s="1"/>
      <c r="E52" s="1"/>
      <c r="F52" s="1"/>
      <c r="G52" s="1"/>
      <c r="H52" s="1"/>
      <c r="I52" s="2"/>
      <c r="J52" s="2"/>
      <c r="K52" s="24"/>
      <c r="L52" s="24"/>
      <c r="M52" s="24"/>
      <c r="N52" s="24"/>
    </row>
    <row r="53" spans="1:14">
      <c r="A53" s="477"/>
      <c r="B53" s="1"/>
      <c r="C53" s="1"/>
      <c r="D53" s="1"/>
      <c r="E53" s="1"/>
      <c r="F53" s="1"/>
      <c r="G53" s="1"/>
      <c r="H53" s="1"/>
      <c r="I53" s="2"/>
      <c r="J53" s="2"/>
      <c r="K53" s="24"/>
      <c r="L53" s="24"/>
      <c r="M53" s="24"/>
      <c r="N53" s="24"/>
    </row>
    <row r="54" spans="1:14">
      <c r="A54" s="29"/>
      <c r="B54" s="30"/>
      <c r="C54" s="30"/>
      <c r="D54" s="30"/>
      <c r="E54" s="30"/>
      <c r="F54" s="30"/>
      <c r="G54" s="30"/>
      <c r="H54" s="30"/>
      <c r="I54" s="24"/>
      <c r="J54" s="24"/>
      <c r="K54" s="24"/>
      <c r="L54" s="24"/>
      <c r="M54" s="24"/>
      <c r="N54" s="24"/>
    </row>
  </sheetData>
  <mergeCells count="11">
    <mergeCell ref="F32:I32"/>
    <mergeCell ref="A26:B26"/>
    <mergeCell ref="A27:I27"/>
    <mergeCell ref="A1:B1"/>
    <mergeCell ref="C1:G1"/>
    <mergeCell ref="A2:B2"/>
    <mergeCell ref="C2:G2"/>
    <mergeCell ref="A3:I3"/>
    <mergeCell ref="A23:B23"/>
    <mergeCell ref="F25:I25"/>
    <mergeCell ref="F26:I26"/>
  </mergeCells>
  <pageMargins left="0" right="0" top="0" bottom="0" header="0" footer="0"/>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workbookViewId="0">
      <selection activeCell="J9" sqref="J9"/>
    </sheetView>
  </sheetViews>
  <sheetFormatPr defaultColWidth="8.9140625" defaultRowHeight="14"/>
  <cols>
    <col min="1" max="1" width="4.9140625" style="31" customWidth="1"/>
    <col min="2" max="2" width="48.33203125" style="32" customWidth="1"/>
    <col min="3" max="3" width="7.4140625" style="32" customWidth="1"/>
    <col min="4" max="4" width="9.33203125" style="32" customWidth="1"/>
    <col min="5" max="5" width="15.33203125" style="32" customWidth="1"/>
    <col min="6" max="6" width="6.9140625" style="32" customWidth="1"/>
    <col min="7" max="7" width="14.08203125" style="32" customWidth="1"/>
    <col min="8" max="8" width="12" style="32" customWidth="1"/>
    <col min="9" max="9" width="15.6640625" customWidth="1"/>
    <col min="10" max="10" width="53.08203125" bestFit="1" customWidth="1"/>
  </cols>
  <sheetData>
    <row r="1" spans="1:14" ht="15">
      <c r="A1" s="1413" t="s">
        <v>1364</v>
      </c>
      <c r="B1" s="1413"/>
      <c r="C1" s="1297"/>
      <c r="D1" s="1297"/>
      <c r="E1" s="1297"/>
      <c r="F1" s="1297"/>
      <c r="G1" s="1297"/>
      <c r="H1" s="72"/>
      <c r="I1" s="73" t="s">
        <v>257</v>
      </c>
      <c r="J1" s="2"/>
      <c r="K1" s="24"/>
      <c r="L1" s="24"/>
      <c r="M1" s="24"/>
      <c r="N1" s="24"/>
    </row>
    <row r="2" spans="1:14">
      <c r="A2" s="1417" t="s">
        <v>1366</v>
      </c>
      <c r="B2" s="1417"/>
      <c r="C2" s="1297"/>
      <c r="D2" s="1297"/>
      <c r="E2" s="1297"/>
      <c r="F2" s="1297"/>
      <c r="G2" s="1297"/>
      <c r="H2" s="72"/>
      <c r="I2" s="72"/>
      <c r="J2" s="2"/>
      <c r="K2" s="24"/>
      <c r="L2" s="24"/>
      <c r="M2" s="24"/>
      <c r="N2" s="24"/>
    </row>
    <row r="3" spans="1:14" ht="27" customHeight="1">
      <c r="A3" s="1302" t="s">
        <v>258</v>
      </c>
      <c r="B3" s="1302"/>
      <c r="C3" s="1302"/>
      <c r="D3" s="1302"/>
      <c r="E3" s="1302"/>
      <c r="F3" s="1302"/>
      <c r="G3" s="1302"/>
      <c r="H3" s="1302"/>
      <c r="I3" s="1302"/>
      <c r="J3" s="2"/>
      <c r="K3" s="24"/>
      <c r="L3" s="24"/>
      <c r="M3" s="24"/>
      <c r="N3" s="24"/>
    </row>
    <row r="4" spans="1:14" ht="14.5" thickBot="1">
      <c r="A4" s="74"/>
      <c r="B4" s="74"/>
      <c r="C4" s="74"/>
      <c r="D4" s="74"/>
      <c r="E4" s="74"/>
      <c r="F4" s="74"/>
      <c r="G4" s="74"/>
      <c r="H4" s="74"/>
      <c r="I4" s="75" t="s">
        <v>259</v>
      </c>
      <c r="J4" s="2"/>
      <c r="K4" s="24"/>
      <c r="L4" s="24"/>
      <c r="M4" s="24"/>
      <c r="N4" s="24"/>
    </row>
    <row r="5" spans="1:14" ht="52.5" thickTop="1">
      <c r="A5" s="479" t="s">
        <v>5</v>
      </c>
      <c r="B5" s="480" t="s">
        <v>260</v>
      </c>
      <c r="C5" s="480" t="s">
        <v>261</v>
      </c>
      <c r="D5" s="480" t="s">
        <v>262</v>
      </c>
      <c r="E5" s="480" t="s">
        <v>263</v>
      </c>
      <c r="F5" s="480" t="s">
        <v>264</v>
      </c>
      <c r="G5" s="480" t="s">
        <v>265</v>
      </c>
      <c r="H5" s="480" t="s">
        <v>1145</v>
      </c>
      <c r="I5" s="478" t="s">
        <v>16</v>
      </c>
      <c r="J5" s="2"/>
      <c r="K5" s="24"/>
      <c r="L5" s="24"/>
      <c r="M5" s="24"/>
      <c r="N5" s="24"/>
    </row>
    <row r="6" spans="1:14" ht="17.25" customHeight="1">
      <c r="A6" s="76" t="s">
        <v>17</v>
      </c>
      <c r="B6" s="77" t="s">
        <v>267</v>
      </c>
      <c r="C6" s="78"/>
      <c r="D6" s="78"/>
      <c r="E6" s="78"/>
      <c r="F6" s="78"/>
      <c r="G6" s="78"/>
      <c r="H6" s="78"/>
      <c r="I6" s="79"/>
      <c r="J6" s="280"/>
      <c r="K6" s="24"/>
      <c r="L6" s="24"/>
      <c r="M6" s="24"/>
      <c r="N6" s="24"/>
    </row>
    <row r="7" spans="1:14" s="46" customFormat="1" ht="13">
      <c r="A7" s="80" t="s">
        <v>19</v>
      </c>
      <c r="B7" s="81" t="s">
        <v>616</v>
      </c>
      <c r="C7" s="81"/>
      <c r="D7" s="81"/>
      <c r="E7" s="82"/>
      <c r="F7" s="82"/>
      <c r="G7" s="82"/>
      <c r="H7" s="82"/>
      <c r="I7" s="83"/>
      <c r="J7" s="44"/>
      <c r="K7" s="45"/>
      <c r="L7" s="45"/>
      <c r="M7" s="45"/>
      <c r="N7" s="45"/>
    </row>
    <row r="8" spans="1:14" s="46" customFormat="1" ht="13">
      <c r="A8" s="63"/>
      <c r="B8" s="64"/>
      <c r="C8" s="64"/>
      <c r="D8" s="64"/>
      <c r="E8" s="61"/>
      <c r="F8" s="61"/>
      <c r="G8" s="61"/>
      <c r="H8" s="61"/>
      <c r="I8" s="62"/>
      <c r="J8" s="44"/>
      <c r="K8" s="45"/>
      <c r="L8" s="45"/>
      <c r="M8" s="45"/>
      <c r="N8" s="45"/>
    </row>
    <row r="9" spans="1:14" s="46" customFormat="1" ht="13">
      <c r="A9" s="63"/>
      <c r="B9" s="64"/>
      <c r="C9" s="64"/>
      <c r="D9" s="64"/>
      <c r="E9" s="61"/>
      <c r="F9" s="61"/>
      <c r="G9" s="61"/>
      <c r="H9" s="61"/>
      <c r="I9" s="62"/>
      <c r="J9" s="44"/>
      <c r="K9" s="45"/>
      <c r="L9" s="45"/>
      <c r="M9" s="45"/>
      <c r="N9" s="45"/>
    </row>
    <row r="10" spans="1:14" s="46" customFormat="1" ht="13">
      <c r="A10" s="63"/>
      <c r="B10" s="64"/>
      <c r="C10" s="64"/>
      <c r="D10" s="64"/>
      <c r="E10" s="61"/>
      <c r="F10" s="61"/>
      <c r="G10" s="61"/>
      <c r="H10" s="61"/>
      <c r="I10" s="62"/>
      <c r="J10" s="44"/>
      <c r="K10" s="45"/>
      <c r="L10" s="45"/>
      <c r="M10" s="45"/>
      <c r="N10" s="45"/>
    </row>
    <row r="11" spans="1:14" s="46" customFormat="1" ht="13">
      <c r="A11" s="59" t="s">
        <v>41</v>
      </c>
      <c r="B11" s="81" t="s">
        <v>616</v>
      </c>
      <c r="C11" s="60"/>
      <c r="D11" s="60"/>
      <c r="E11" s="65"/>
      <c r="F11" s="65"/>
      <c r="G11" s="65"/>
      <c r="H11" s="65"/>
      <c r="I11" s="66"/>
      <c r="J11" s="44"/>
      <c r="K11" s="45"/>
      <c r="L11" s="45"/>
      <c r="M11" s="45"/>
      <c r="N11" s="45"/>
    </row>
    <row r="12" spans="1:14" s="46" customFormat="1" ht="13">
      <c r="A12" s="63">
        <v>1</v>
      </c>
      <c r="B12" s="64"/>
      <c r="C12" s="64"/>
      <c r="D12" s="64"/>
      <c r="E12" s="65"/>
      <c r="F12" s="65"/>
      <c r="G12" s="65"/>
      <c r="H12" s="65"/>
      <c r="I12" s="66"/>
      <c r="J12" s="44"/>
      <c r="K12" s="45"/>
      <c r="L12" s="45"/>
      <c r="M12" s="45"/>
      <c r="N12" s="45"/>
    </row>
    <row r="13" spans="1:14" s="46" customFormat="1" ht="13">
      <c r="A13" s="63">
        <v>2</v>
      </c>
      <c r="B13" s="64"/>
      <c r="C13" s="64"/>
      <c r="D13" s="64"/>
      <c r="E13" s="65"/>
      <c r="F13" s="65"/>
      <c r="G13" s="65"/>
      <c r="H13" s="65"/>
      <c r="I13" s="66"/>
      <c r="J13" s="44"/>
      <c r="K13" s="45"/>
      <c r="L13" s="45"/>
      <c r="M13" s="45"/>
      <c r="N13" s="45"/>
    </row>
    <row r="14" spans="1:14" s="46" customFormat="1" ht="13">
      <c r="A14" s="63"/>
      <c r="B14" s="64"/>
      <c r="C14" s="64"/>
      <c r="D14" s="64"/>
      <c r="E14" s="65"/>
      <c r="F14" s="65"/>
      <c r="G14" s="65"/>
      <c r="H14" s="65"/>
      <c r="I14" s="66"/>
      <c r="J14" s="44"/>
      <c r="K14" s="45"/>
      <c r="L14" s="45"/>
      <c r="M14" s="45"/>
      <c r="N14" s="45"/>
    </row>
    <row r="15" spans="1:14" s="48" customFormat="1" ht="13">
      <c r="A15" s="59" t="s">
        <v>178</v>
      </c>
      <c r="B15" s="60" t="s">
        <v>268</v>
      </c>
      <c r="C15" s="60"/>
      <c r="D15" s="60"/>
      <c r="E15" s="10"/>
      <c r="F15" s="10"/>
      <c r="G15" s="10"/>
      <c r="H15" s="10"/>
      <c r="I15" s="12"/>
      <c r="J15" s="47"/>
      <c r="K15" s="25"/>
      <c r="L15" s="25"/>
      <c r="M15" s="25"/>
      <c r="N15" s="25"/>
    </row>
    <row r="16" spans="1:14" s="48" customFormat="1" ht="13">
      <c r="A16" s="84" t="s">
        <v>19</v>
      </c>
      <c r="B16" s="81" t="s">
        <v>269</v>
      </c>
      <c r="C16" s="81"/>
      <c r="D16" s="81"/>
      <c r="E16" s="10"/>
      <c r="F16" s="10"/>
      <c r="G16" s="10"/>
      <c r="H16" s="661">
        <f>SUM(H17:H18)</f>
        <v>237319.99999999997</v>
      </c>
      <c r="I16" s="12"/>
      <c r="J16" s="47"/>
      <c r="K16" s="25"/>
      <c r="L16" s="25"/>
      <c r="M16" s="25"/>
      <c r="N16" s="25"/>
    </row>
    <row r="17" spans="1:14" s="48" customFormat="1" ht="13">
      <c r="A17" s="84">
        <v>1</v>
      </c>
      <c r="B17" s="571" t="s">
        <v>1146</v>
      </c>
      <c r="C17" s="571" t="s">
        <v>1147</v>
      </c>
      <c r="D17" s="571" t="s">
        <v>1139</v>
      </c>
      <c r="E17" s="13" t="s">
        <v>1148</v>
      </c>
      <c r="F17" s="10">
        <v>2</v>
      </c>
      <c r="G17" s="10">
        <v>5</v>
      </c>
      <c r="H17" s="572">
        <f>97*340*5*1.4</f>
        <v>230859.99999999997</v>
      </c>
      <c r="I17" s="12"/>
      <c r="J17" s="47"/>
      <c r="K17" s="25"/>
      <c r="L17" s="25"/>
      <c r="M17" s="25"/>
      <c r="N17" s="25"/>
    </row>
    <row r="18" spans="1:14" s="48" customFormat="1" ht="13">
      <c r="A18" s="84">
        <v>2</v>
      </c>
      <c r="B18" s="571" t="s">
        <v>1149</v>
      </c>
      <c r="C18" s="571" t="s">
        <v>1147</v>
      </c>
      <c r="D18" s="571" t="s">
        <v>1141</v>
      </c>
      <c r="E18" s="13" t="s">
        <v>1148</v>
      </c>
      <c r="F18" s="10">
        <v>2</v>
      </c>
      <c r="G18" s="10"/>
      <c r="H18" s="572">
        <f>323*20</f>
        <v>6460</v>
      </c>
      <c r="I18" s="12"/>
      <c r="J18" s="47"/>
      <c r="K18" s="25"/>
      <c r="L18" s="25"/>
      <c r="M18" s="25"/>
      <c r="N18" s="25"/>
    </row>
    <row r="19" spans="1:14" s="48" customFormat="1" ht="13">
      <c r="A19" s="84">
        <v>3</v>
      </c>
      <c r="B19" s="25" t="s">
        <v>1406</v>
      </c>
      <c r="C19" s="25" t="s">
        <v>1147</v>
      </c>
      <c r="D19" s="25" t="s">
        <v>1407</v>
      </c>
      <c r="E19" s="1223" t="s">
        <v>1148</v>
      </c>
      <c r="F19" s="25">
        <v>1</v>
      </c>
      <c r="G19" s="25">
        <v>4</v>
      </c>
      <c r="H19" s="25">
        <v>12000</v>
      </c>
      <c r="I19" s="12"/>
      <c r="J19" s="47"/>
      <c r="K19" s="25"/>
      <c r="L19" s="25"/>
      <c r="M19" s="25"/>
      <c r="N19" s="25"/>
    </row>
    <row r="20" spans="1:14" s="48" customFormat="1" ht="13.5" thickBot="1">
      <c r="A20" s="84" t="s">
        <v>41</v>
      </c>
      <c r="B20" s="81" t="s">
        <v>270</v>
      </c>
      <c r="C20" s="81"/>
      <c r="D20" s="81"/>
      <c r="E20" s="10"/>
      <c r="F20" s="10"/>
      <c r="G20" s="10"/>
      <c r="H20" s="575">
        <f>H21</f>
        <v>30000</v>
      </c>
      <c r="I20" s="12"/>
      <c r="J20" s="47"/>
      <c r="K20" s="25"/>
      <c r="L20" s="25"/>
      <c r="M20" s="25"/>
      <c r="N20" s="25"/>
    </row>
    <row r="21" spans="1:14" s="48" customFormat="1" ht="13.5" thickTop="1">
      <c r="A21" s="85"/>
      <c r="B21" s="64" t="s">
        <v>1361</v>
      </c>
      <c r="C21" s="86"/>
      <c r="D21" s="86"/>
      <c r="E21" s="87"/>
      <c r="F21" s="87"/>
      <c r="G21" s="87"/>
      <c r="H21" s="659">
        <v>30000</v>
      </c>
      <c r="I21" s="88"/>
      <c r="J21" s="47"/>
      <c r="K21" s="25"/>
      <c r="L21" s="25"/>
      <c r="M21" s="25"/>
      <c r="N21" s="25"/>
    </row>
    <row r="22" spans="1:14" s="48" customFormat="1" thickBot="1">
      <c r="A22" s="1411" t="s">
        <v>271</v>
      </c>
      <c r="B22" s="1412"/>
      <c r="C22" s="89"/>
      <c r="D22" s="89"/>
      <c r="E22" s="67"/>
      <c r="F22" s="67"/>
      <c r="G22" s="67"/>
      <c r="H22" s="575">
        <f>SUM(H16:H21)</f>
        <v>546640</v>
      </c>
      <c r="I22" s="68"/>
      <c r="J22" s="47"/>
      <c r="K22" s="25"/>
      <c r="L22" s="25"/>
      <c r="M22" s="25"/>
      <c r="N22" s="25"/>
    </row>
    <row r="23" spans="1:14" ht="14.5" thickTop="1">
      <c r="A23" s="90"/>
      <c r="B23" s="91"/>
      <c r="C23" s="91"/>
      <c r="D23" s="91"/>
      <c r="E23" s="91"/>
      <c r="F23" s="91"/>
      <c r="G23" s="91"/>
      <c r="H23" s="91"/>
      <c r="I23" s="92"/>
      <c r="J23" s="2"/>
      <c r="K23" s="24"/>
      <c r="L23" s="24"/>
      <c r="M23" s="24"/>
      <c r="N23" s="24"/>
    </row>
    <row r="24" spans="1:14" ht="15" customHeight="1">
      <c r="F24" s="1407" t="s">
        <v>42</v>
      </c>
      <c r="G24" s="1407"/>
      <c r="H24" s="1407"/>
      <c r="I24" s="1407"/>
      <c r="J24" s="93"/>
      <c r="K24" s="93"/>
      <c r="L24" s="24"/>
      <c r="M24" s="24"/>
      <c r="N24" s="24"/>
    </row>
    <row r="25" spans="1:14" ht="15" customHeight="1">
      <c r="A25" s="1408"/>
      <c r="B25" s="1408"/>
      <c r="C25" s="484"/>
      <c r="D25" s="484"/>
      <c r="E25" s="484"/>
      <c r="F25" s="1297" t="s">
        <v>1429</v>
      </c>
      <c r="G25" s="1297"/>
      <c r="H25" s="1297"/>
      <c r="I25" s="1297"/>
      <c r="J25" s="41"/>
      <c r="K25" s="41"/>
      <c r="L25" s="24"/>
      <c r="M25" s="24"/>
      <c r="N25" s="24"/>
    </row>
    <row r="26" spans="1:14">
      <c r="A26" s="94"/>
      <c r="B26" s="1"/>
      <c r="C26" s="1"/>
      <c r="D26" s="1"/>
      <c r="E26" s="1"/>
      <c r="F26" s="1"/>
      <c r="G26" s="1"/>
      <c r="H26" s="1"/>
      <c r="I26" s="477"/>
      <c r="J26" s="2"/>
      <c r="K26" s="24"/>
      <c r="L26" s="24"/>
      <c r="M26" s="24"/>
      <c r="N26" s="24"/>
    </row>
    <row r="27" spans="1:14">
      <c r="A27" s="477"/>
      <c r="B27" s="1"/>
      <c r="C27" s="1"/>
      <c r="D27" s="1"/>
      <c r="E27" s="1"/>
      <c r="F27" s="1"/>
      <c r="G27" s="1"/>
      <c r="H27" s="1"/>
      <c r="I27" s="2"/>
      <c r="J27" s="2"/>
      <c r="K27" s="24"/>
      <c r="L27" s="24"/>
      <c r="M27" s="24"/>
      <c r="N27" s="24"/>
    </row>
    <row r="28" spans="1:14">
      <c r="A28" s="477"/>
      <c r="B28" s="1"/>
      <c r="C28" s="1"/>
      <c r="D28" s="1"/>
      <c r="E28" s="1"/>
      <c r="F28" s="1"/>
      <c r="G28" s="1"/>
      <c r="H28" s="1"/>
      <c r="I28" s="2"/>
      <c r="J28" s="2"/>
      <c r="K28" s="24"/>
      <c r="L28" s="24"/>
      <c r="M28" s="24"/>
      <c r="N28" s="24"/>
    </row>
    <row r="29" spans="1:14">
      <c r="A29" s="477"/>
      <c r="B29" s="1"/>
      <c r="C29" s="1"/>
      <c r="D29" s="1"/>
      <c r="E29" s="1"/>
      <c r="F29" s="1"/>
      <c r="G29" s="1"/>
      <c r="H29" s="1"/>
      <c r="I29" s="2"/>
      <c r="J29" s="2"/>
      <c r="K29" s="24"/>
      <c r="L29" s="24"/>
      <c r="M29" s="24"/>
      <c r="N29" s="24"/>
    </row>
    <row r="30" spans="1:14" ht="13.5" customHeight="1">
      <c r="A30" s="477"/>
      <c r="B30" s="1"/>
      <c r="C30" s="1"/>
      <c r="D30" s="1"/>
      <c r="E30" s="1"/>
      <c r="F30" s="1368" t="s">
        <v>1430</v>
      </c>
      <c r="G30" s="1368"/>
      <c r="H30" s="1368"/>
      <c r="I30" s="1368"/>
      <c r="J30" s="2"/>
      <c r="K30" s="24"/>
      <c r="L30" s="24"/>
      <c r="M30" s="24"/>
      <c r="N30" s="24"/>
    </row>
    <row r="31" spans="1:14">
      <c r="A31" s="477"/>
      <c r="B31" s="1"/>
      <c r="C31" s="1"/>
      <c r="D31" s="1"/>
      <c r="E31" s="1"/>
      <c r="F31" s="1"/>
      <c r="G31" s="1"/>
      <c r="H31" s="1"/>
      <c r="I31" s="2"/>
      <c r="J31" s="2"/>
      <c r="K31" s="24"/>
      <c r="L31" s="24"/>
      <c r="M31" s="24"/>
      <c r="N31" s="24"/>
    </row>
    <row r="32" spans="1:14">
      <c r="A32" s="477"/>
      <c r="B32" s="1"/>
      <c r="C32" s="1"/>
      <c r="D32" s="1"/>
      <c r="E32" s="1"/>
      <c r="F32" s="1"/>
      <c r="G32" s="1"/>
      <c r="H32" s="1"/>
      <c r="I32" s="2"/>
      <c r="J32" s="2"/>
      <c r="K32" s="24"/>
      <c r="L32" s="24"/>
      <c r="M32" s="24"/>
      <c r="N32" s="24"/>
    </row>
    <row r="33" spans="1:14">
      <c r="A33" s="477"/>
      <c r="B33" s="1"/>
      <c r="C33" s="1"/>
      <c r="D33" s="1"/>
      <c r="E33" s="1"/>
      <c r="F33" s="1"/>
      <c r="G33" s="1"/>
      <c r="H33" s="1"/>
      <c r="I33" s="2"/>
      <c r="J33" s="2"/>
      <c r="K33" s="24"/>
      <c r="L33" s="24"/>
      <c r="M33" s="24"/>
      <c r="N33" s="24"/>
    </row>
    <row r="34" spans="1:14">
      <c r="A34" s="477"/>
      <c r="B34" s="1"/>
      <c r="C34" s="1"/>
      <c r="D34" s="1"/>
      <c r="E34" s="1"/>
      <c r="F34" s="1"/>
      <c r="G34" s="1"/>
      <c r="H34" s="1"/>
      <c r="I34" s="2"/>
      <c r="J34" s="2"/>
      <c r="K34" s="24"/>
      <c r="L34" s="24"/>
      <c r="M34" s="24"/>
      <c r="N34" s="24"/>
    </row>
    <row r="35" spans="1:14">
      <c r="A35" s="477"/>
      <c r="B35" s="1"/>
      <c r="C35" s="1"/>
      <c r="D35" s="1"/>
      <c r="E35" s="1"/>
      <c r="F35" s="1"/>
      <c r="G35" s="1"/>
      <c r="H35" s="1"/>
      <c r="I35" s="2"/>
      <c r="J35" s="2"/>
      <c r="K35" s="24"/>
      <c r="L35" s="24"/>
      <c r="M35" s="24"/>
      <c r="N35" s="24"/>
    </row>
    <row r="36" spans="1:14">
      <c r="A36" s="477"/>
      <c r="B36" s="1"/>
      <c r="C36" s="1"/>
      <c r="D36" s="1"/>
      <c r="E36" s="1"/>
      <c r="F36" s="1"/>
      <c r="G36" s="1"/>
      <c r="H36" s="1"/>
      <c r="I36" s="2"/>
      <c r="J36" s="2"/>
      <c r="K36" s="24"/>
      <c r="L36" s="24"/>
      <c r="M36" s="24"/>
      <c r="N36" s="24"/>
    </row>
    <row r="37" spans="1:14">
      <c r="A37" s="477"/>
      <c r="B37" s="1"/>
      <c r="C37" s="1"/>
      <c r="D37" s="1"/>
      <c r="E37" s="1"/>
      <c r="F37" s="1"/>
      <c r="G37" s="1"/>
      <c r="H37" s="1"/>
      <c r="I37" s="2"/>
      <c r="J37" s="2"/>
      <c r="K37" s="24"/>
      <c r="L37" s="24"/>
      <c r="M37" s="24"/>
      <c r="N37" s="24"/>
    </row>
    <row r="38" spans="1:14">
      <c r="A38" s="477"/>
      <c r="B38" s="1"/>
      <c r="C38" s="1"/>
      <c r="D38" s="1"/>
      <c r="E38" s="1"/>
      <c r="F38" s="1"/>
      <c r="G38" s="1"/>
      <c r="H38" s="1"/>
      <c r="I38" s="2"/>
      <c r="J38" s="2"/>
      <c r="K38" s="24"/>
      <c r="L38" s="24"/>
      <c r="M38" s="24"/>
      <c r="N38" s="24"/>
    </row>
    <row r="39" spans="1:14">
      <c r="A39" s="477"/>
      <c r="B39" s="1"/>
      <c r="C39" s="1"/>
      <c r="D39" s="1"/>
      <c r="E39" s="1"/>
      <c r="F39" s="1"/>
      <c r="G39" s="1"/>
      <c r="H39" s="1"/>
      <c r="I39" s="2"/>
      <c r="J39" s="2"/>
      <c r="K39" s="24"/>
      <c r="L39" s="24"/>
      <c r="M39" s="24"/>
      <c r="N39" s="24"/>
    </row>
    <row r="40" spans="1:14">
      <c r="A40" s="477"/>
      <c r="B40" s="1"/>
      <c r="C40" s="1"/>
      <c r="D40" s="1"/>
      <c r="E40" s="1"/>
      <c r="F40" s="1"/>
      <c r="G40" s="1"/>
      <c r="H40" s="1"/>
      <c r="I40" s="2"/>
      <c r="J40" s="2"/>
      <c r="K40" s="24"/>
      <c r="L40" s="24"/>
      <c r="M40" s="24"/>
      <c r="N40" s="24"/>
    </row>
    <row r="41" spans="1:14">
      <c r="A41" s="477"/>
      <c r="B41" s="1"/>
      <c r="C41" s="1"/>
      <c r="D41" s="1"/>
      <c r="E41" s="1"/>
      <c r="F41" s="1"/>
      <c r="G41" s="1"/>
      <c r="H41" s="1"/>
      <c r="I41" s="2"/>
      <c r="J41" s="2"/>
      <c r="K41" s="24"/>
      <c r="L41" s="24"/>
      <c r="M41" s="24"/>
      <c r="N41" s="24"/>
    </row>
    <row r="42" spans="1:14">
      <c r="A42" s="477"/>
      <c r="B42" s="1"/>
      <c r="C42" s="1"/>
      <c r="D42" s="1"/>
      <c r="E42" s="1"/>
      <c r="F42" s="1"/>
      <c r="G42" s="1"/>
      <c r="H42" s="1"/>
      <c r="I42" s="2"/>
      <c r="J42" s="2"/>
      <c r="K42" s="24"/>
      <c r="L42" s="24"/>
      <c r="M42" s="24"/>
      <c r="N42" s="24"/>
    </row>
    <row r="43" spans="1:14">
      <c r="A43" s="477"/>
      <c r="B43" s="1"/>
      <c r="C43" s="1"/>
      <c r="D43" s="1"/>
      <c r="E43" s="1"/>
      <c r="F43" s="1"/>
      <c r="G43" s="1"/>
      <c r="H43" s="1"/>
      <c r="I43" s="2"/>
      <c r="J43" s="2"/>
      <c r="K43" s="24"/>
      <c r="L43" s="24"/>
      <c r="M43" s="24"/>
      <c r="N43" s="24"/>
    </row>
    <row r="44" spans="1:14">
      <c r="A44" s="477"/>
      <c r="B44" s="1"/>
      <c r="C44" s="1"/>
      <c r="D44" s="1"/>
      <c r="E44" s="1"/>
      <c r="F44" s="1"/>
      <c r="G44" s="1"/>
      <c r="H44" s="1"/>
      <c r="I44" s="2"/>
      <c r="J44" s="2"/>
      <c r="K44" s="24"/>
      <c r="L44" s="24"/>
      <c r="M44" s="24"/>
      <c r="N44" s="24"/>
    </row>
    <row r="45" spans="1:14">
      <c r="A45" s="477"/>
      <c r="B45" s="1"/>
      <c r="C45" s="1"/>
      <c r="D45" s="1"/>
      <c r="E45" s="1"/>
      <c r="F45" s="1"/>
      <c r="G45" s="1"/>
      <c r="H45" s="1"/>
      <c r="I45" s="2"/>
      <c r="J45" s="2"/>
      <c r="K45" s="24"/>
      <c r="L45" s="24"/>
      <c r="M45" s="24"/>
      <c r="N45" s="24"/>
    </row>
    <row r="46" spans="1:14">
      <c r="A46" s="477"/>
      <c r="B46" s="1"/>
      <c r="C46" s="1"/>
      <c r="D46" s="1"/>
      <c r="E46" s="1"/>
      <c r="F46" s="1"/>
      <c r="G46" s="1"/>
      <c r="H46" s="1"/>
      <c r="I46" s="2"/>
      <c r="J46" s="2"/>
      <c r="K46" s="24"/>
      <c r="L46" s="24"/>
      <c r="M46" s="24"/>
      <c r="N46" s="24"/>
    </row>
    <row r="47" spans="1:14">
      <c r="A47" s="477"/>
      <c r="B47" s="1"/>
      <c r="C47" s="1"/>
      <c r="D47" s="1"/>
      <c r="E47" s="1"/>
      <c r="F47" s="1"/>
      <c r="G47" s="1"/>
      <c r="H47" s="1"/>
      <c r="I47" s="2"/>
      <c r="J47" s="2"/>
      <c r="K47" s="24"/>
      <c r="L47" s="24"/>
      <c r="M47" s="24"/>
      <c r="N47" s="24"/>
    </row>
    <row r="48" spans="1:14">
      <c r="A48" s="477"/>
      <c r="B48" s="1"/>
      <c r="C48" s="1"/>
      <c r="D48" s="1"/>
      <c r="E48" s="1"/>
      <c r="F48" s="1"/>
      <c r="G48" s="1"/>
      <c r="H48" s="1"/>
      <c r="I48" s="2"/>
      <c r="J48" s="2"/>
      <c r="K48" s="24"/>
      <c r="L48" s="24"/>
      <c r="M48" s="24"/>
      <c r="N48" s="24"/>
    </row>
    <row r="49" spans="1:14">
      <c r="A49" s="477"/>
      <c r="B49" s="1"/>
      <c r="C49" s="1"/>
      <c r="D49" s="1"/>
      <c r="E49" s="1"/>
      <c r="F49" s="1"/>
      <c r="G49" s="1"/>
      <c r="H49" s="1"/>
      <c r="I49" s="2"/>
      <c r="J49" s="2"/>
      <c r="K49" s="24"/>
      <c r="L49" s="24"/>
      <c r="M49" s="24"/>
      <c r="N49" s="24"/>
    </row>
    <row r="50" spans="1:14">
      <c r="A50" s="477"/>
      <c r="B50" s="1"/>
      <c r="C50" s="1"/>
      <c r="D50" s="1"/>
      <c r="E50" s="1"/>
      <c r="F50" s="1"/>
      <c r="G50" s="1"/>
      <c r="H50" s="1"/>
      <c r="I50" s="2"/>
      <c r="J50" s="2"/>
      <c r="K50" s="24"/>
      <c r="L50" s="24"/>
      <c r="M50" s="24"/>
      <c r="N50" s="24"/>
    </row>
    <row r="51" spans="1:14">
      <c r="A51" s="477"/>
      <c r="B51" s="1"/>
      <c r="C51" s="1"/>
      <c r="D51" s="1"/>
      <c r="E51" s="1"/>
      <c r="F51" s="1"/>
      <c r="G51" s="1"/>
      <c r="H51" s="1"/>
      <c r="I51" s="2"/>
      <c r="J51" s="2"/>
      <c r="K51" s="24"/>
      <c r="L51" s="24"/>
      <c r="M51" s="24"/>
      <c r="N51" s="24"/>
    </row>
    <row r="52" spans="1:14">
      <c r="A52" s="29"/>
      <c r="B52" s="30"/>
      <c r="C52" s="30"/>
      <c r="D52" s="30"/>
      <c r="E52" s="30"/>
      <c r="F52" s="30"/>
      <c r="G52" s="30"/>
      <c r="H52" s="30"/>
      <c r="I52" s="24"/>
      <c r="J52" s="24"/>
      <c r="K52" s="24"/>
      <c r="L52" s="24"/>
      <c r="M52" s="24"/>
      <c r="N52" s="24"/>
    </row>
  </sheetData>
  <mergeCells count="10">
    <mergeCell ref="F30:I30"/>
    <mergeCell ref="A25:B25"/>
    <mergeCell ref="A1:B1"/>
    <mergeCell ref="C1:G1"/>
    <mergeCell ref="A2:B2"/>
    <mergeCell ref="C2:G2"/>
    <mergeCell ref="A3:I3"/>
    <mergeCell ref="A22:B22"/>
    <mergeCell ref="F24:I24"/>
    <mergeCell ref="F25:I25"/>
  </mergeCells>
  <pageMargins left="0.7" right="0.7" top="0.75" bottom="0.75" header="0.3" footer="0.3"/>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workbookViewId="0">
      <selection sqref="A1:I32"/>
    </sheetView>
  </sheetViews>
  <sheetFormatPr defaultColWidth="8.9140625" defaultRowHeight="14"/>
  <cols>
    <col min="1" max="1" width="4.9140625" style="31" customWidth="1"/>
    <col min="2" max="2" width="52" style="32" customWidth="1"/>
    <col min="3" max="3" width="8.6640625" style="32" customWidth="1"/>
    <col min="4" max="4" width="7.6640625" style="32" customWidth="1"/>
    <col min="5" max="5" width="15.08203125" style="32" customWidth="1"/>
    <col min="6" max="6" width="6.9140625" style="32" customWidth="1"/>
    <col min="7" max="7" width="10.9140625" style="32" customWidth="1"/>
    <col min="8" max="8" width="12" style="32" customWidth="1"/>
    <col min="9" max="9" width="15.9140625" customWidth="1"/>
    <col min="10" max="10" width="53" bestFit="1" customWidth="1"/>
  </cols>
  <sheetData>
    <row r="1" spans="1:14" ht="14.25" customHeight="1">
      <c r="A1" s="1413" t="s">
        <v>1364</v>
      </c>
      <c r="B1" s="1413"/>
      <c r="C1" s="1297"/>
      <c r="D1" s="1297"/>
      <c r="E1" s="1297"/>
      <c r="F1" s="1297"/>
      <c r="G1" s="1297"/>
      <c r="H1" s="72"/>
      <c r="I1" s="73" t="s">
        <v>257</v>
      </c>
      <c r="J1" s="2"/>
      <c r="K1" s="24"/>
      <c r="L1" s="24"/>
      <c r="M1" s="24"/>
      <c r="N1" s="24"/>
    </row>
    <row r="2" spans="1:14">
      <c r="A2" s="1302" t="s">
        <v>1365</v>
      </c>
      <c r="B2" s="1302"/>
      <c r="C2" s="1297"/>
      <c r="D2" s="1297"/>
      <c r="E2" s="1297"/>
      <c r="F2" s="1297"/>
      <c r="G2" s="1297"/>
      <c r="H2" s="72"/>
      <c r="I2" s="72"/>
      <c r="J2" s="2"/>
      <c r="K2" s="24"/>
      <c r="L2" s="24"/>
      <c r="M2" s="24"/>
      <c r="N2" s="24"/>
    </row>
    <row r="3" spans="1:14" ht="27" customHeight="1">
      <c r="A3" s="1302" t="s">
        <v>258</v>
      </c>
      <c r="B3" s="1302"/>
      <c r="C3" s="1302"/>
      <c r="D3" s="1302"/>
      <c r="E3" s="1302"/>
      <c r="F3" s="1302"/>
      <c r="G3" s="1302"/>
      <c r="H3" s="1302"/>
      <c r="I3" s="1302"/>
      <c r="J3" s="2"/>
      <c r="K3" s="24"/>
      <c r="L3" s="24"/>
      <c r="M3" s="24"/>
      <c r="N3" s="24"/>
    </row>
    <row r="4" spans="1:14" ht="14.5" thickBot="1">
      <c r="A4" s="74"/>
      <c r="B4" s="74"/>
      <c r="C4" s="74"/>
      <c r="D4" s="74"/>
      <c r="E4" s="74"/>
      <c r="F4" s="74"/>
      <c r="G4" s="74"/>
      <c r="H4" s="74"/>
      <c r="I4" s="75" t="s">
        <v>259</v>
      </c>
      <c r="J4" s="2"/>
      <c r="K4" s="24"/>
      <c r="L4" s="24"/>
      <c r="M4" s="24"/>
      <c r="N4" s="24"/>
    </row>
    <row r="5" spans="1:14" ht="75" customHeight="1" thickTop="1">
      <c r="A5" s="479" t="s">
        <v>5</v>
      </c>
      <c r="B5" s="480" t="s">
        <v>260</v>
      </c>
      <c r="C5" s="480" t="s">
        <v>261</v>
      </c>
      <c r="D5" s="480" t="s">
        <v>262</v>
      </c>
      <c r="E5" s="480" t="s">
        <v>263</v>
      </c>
      <c r="F5" s="480" t="s">
        <v>264</v>
      </c>
      <c r="G5" s="480" t="s">
        <v>265</v>
      </c>
      <c r="H5" s="480" t="s">
        <v>266</v>
      </c>
      <c r="I5" s="478" t="s">
        <v>16</v>
      </c>
      <c r="J5" s="2"/>
      <c r="K5" s="24"/>
      <c r="L5" s="24"/>
      <c r="M5" s="24"/>
      <c r="N5" s="24"/>
    </row>
    <row r="6" spans="1:14" ht="17.25" customHeight="1">
      <c r="A6" s="76" t="s">
        <v>17</v>
      </c>
      <c r="B6" s="77" t="s">
        <v>267</v>
      </c>
      <c r="C6" s="78"/>
      <c r="D6" s="78"/>
      <c r="E6" s="78"/>
      <c r="F6" s="78"/>
      <c r="G6" s="78"/>
      <c r="H6" s="667">
        <f>SUM(H8:H13)</f>
        <v>148590</v>
      </c>
      <c r="I6" s="79"/>
      <c r="J6" s="280"/>
      <c r="K6" s="24"/>
      <c r="L6" s="24"/>
      <c r="M6" s="24"/>
      <c r="N6" s="24"/>
    </row>
    <row r="7" spans="1:14" s="46" customFormat="1" ht="17.25" customHeight="1">
      <c r="A7" s="80" t="s">
        <v>19</v>
      </c>
      <c r="B7" s="81" t="s">
        <v>1150</v>
      </c>
      <c r="C7" s="81"/>
      <c r="D7" s="81"/>
      <c r="E7" s="82"/>
      <c r="F7" s="82"/>
      <c r="G7" s="82"/>
      <c r="H7" s="82"/>
      <c r="I7" s="83"/>
      <c r="J7" s="44"/>
      <c r="K7" s="45"/>
      <c r="L7" s="45"/>
      <c r="M7" s="45"/>
      <c r="N7" s="45"/>
    </row>
    <row r="8" spans="1:14" s="46" customFormat="1" ht="15.75" customHeight="1">
      <c r="A8" s="63"/>
      <c r="B8" s="492" t="s">
        <v>976</v>
      </c>
      <c r="C8" s="64" t="s">
        <v>1147</v>
      </c>
      <c r="D8" s="64" t="s">
        <v>1151</v>
      </c>
      <c r="E8" s="65" t="s">
        <v>1148</v>
      </c>
      <c r="F8" s="65"/>
      <c r="G8" s="494"/>
      <c r="H8" s="662">
        <v>58653</v>
      </c>
      <c r="I8" s="66" t="s">
        <v>1152</v>
      </c>
      <c r="J8" s="44"/>
      <c r="K8" s="45"/>
      <c r="L8" s="45"/>
      <c r="M8" s="45"/>
      <c r="N8" s="45"/>
    </row>
    <row r="9" spans="1:14" s="46" customFormat="1" ht="15.75" customHeight="1">
      <c r="A9" s="63"/>
      <c r="B9" s="492" t="s">
        <v>977</v>
      </c>
      <c r="C9" s="64" t="s">
        <v>1147</v>
      </c>
      <c r="D9" s="64" t="s">
        <v>1153</v>
      </c>
      <c r="E9" s="65" t="s">
        <v>1148</v>
      </c>
      <c r="F9" s="61"/>
      <c r="G9" s="494"/>
      <c r="H9" s="662">
        <v>43218</v>
      </c>
      <c r="I9" s="66" t="s">
        <v>1154</v>
      </c>
      <c r="J9" s="44"/>
      <c r="K9" s="45"/>
      <c r="L9" s="45"/>
      <c r="M9" s="45"/>
      <c r="N9" s="45"/>
    </row>
    <row r="10" spans="1:14" s="46" customFormat="1" ht="15.75" customHeight="1">
      <c r="A10" s="63"/>
      <c r="B10" s="1143" t="s">
        <v>982</v>
      </c>
      <c r="C10" s="1144" t="s">
        <v>1155</v>
      </c>
      <c r="D10" s="1144" t="s">
        <v>1156</v>
      </c>
      <c r="E10" s="1144" t="s">
        <v>1157</v>
      </c>
      <c r="F10" s="1144">
        <v>2</v>
      </c>
      <c r="G10" s="1144">
        <v>5</v>
      </c>
      <c r="H10" s="1145">
        <v>17017</v>
      </c>
      <c r="I10" s="1146" t="s">
        <v>1158</v>
      </c>
      <c r="J10" s="44"/>
      <c r="K10" s="45"/>
      <c r="L10" s="45"/>
      <c r="M10" s="45"/>
      <c r="N10" s="45"/>
    </row>
    <row r="11" spans="1:14" s="46" customFormat="1" ht="15.75" customHeight="1">
      <c r="A11" s="63"/>
      <c r="B11" s="1143" t="s">
        <v>1159</v>
      </c>
      <c r="C11" s="1144" t="s">
        <v>1155</v>
      </c>
      <c r="D11" s="1144" t="s">
        <v>1156</v>
      </c>
      <c r="E11" s="1144" t="s">
        <v>1157</v>
      </c>
      <c r="F11" s="1144">
        <v>1</v>
      </c>
      <c r="G11" s="1144">
        <v>3</v>
      </c>
      <c r="H11" s="1145">
        <v>9282</v>
      </c>
      <c r="I11" s="1146" t="s">
        <v>1160</v>
      </c>
      <c r="J11" s="44"/>
      <c r="K11" s="45"/>
      <c r="L11" s="45"/>
      <c r="M11" s="45"/>
      <c r="N11" s="45"/>
    </row>
    <row r="12" spans="1:14" s="46" customFormat="1" ht="15.75" customHeight="1">
      <c r="A12" s="63"/>
      <c r="B12" s="1143" t="s">
        <v>1161</v>
      </c>
      <c r="C12" s="1144" t="s">
        <v>1155</v>
      </c>
      <c r="D12" s="1144" t="s">
        <v>1162</v>
      </c>
      <c r="E12" s="1144" t="s">
        <v>1157</v>
      </c>
      <c r="F12" s="1144">
        <v>1</v>
      </c>
      <c r="G12" s="1144">
        <v>3</v>
      </c>
      <c r="H12" s="663">
        <v>10210</v>
      </c>
      <c r="I12" s="1146" t="s">
        <v>1163</v>
      </c>
      <c r="J12" s="44"/>
      <c r="K12" s="45"/>
      <c r="L12" s="45"/>
      <c r="M12" s="45"/>
      <c r="N12" s="45"/>
    </row>
    <row r="13" spans="1:14" s="46" customFormat="1" ht="15.75" customHeight="1">
      <c r="A13" s="63"/>
      <c r="B13" s="1143" t="s">
        <v>1164</v>
      </c>
      <c r="C13" s="1144" t="s">
        <v>1155</v>
      </c>
      <c r="D13" s="1144" t="s">
        <v>1162</v>
      </c>
      <c r="E13" s="1144" t="s">
        <v>1157</v>
      </c>
      <c r="F13" s="1144">
        <v>1</v>
      </c>
      <c r="G13" s="1144">
        <v>3</v>
      </c>
      <c r="H13" s="664">
        <v>10210</v>
      </c>
      <c r="I13" s="1146" t="s">
        <v>1165</v>
      </c>
      <c r="J13" s="44"/>
      <c r="K13" s="45"/>
      <c r="L13" s="45"/>
      <c r="M13" s="45"/>
      <c r="N13" s="45"/>
    </row>
    <row r="14" spans="1:14" s="46" customFormat="1" ht="15.75" customHeight="1">
      <c r="A14" s="63"/>
      <c r="B14" s="1147"/>
      <c r="C14" s="1147"/>
      <c r="D14" s="1147"/>
      <c r="E14" s="1148"/>
      <c r="F14" s="1148"/>
      <c r="G14" s="1148"/>
      <c r="H14" s="1149"/>
      <c r="I14" s="1150"/>
      <c r="J14" s="44"/>
      <c r="K14" s="45"/>
      <c r="L14" s="45"/>
      <c r="M14" s="45"/>
      <c r="N14" s="45"/>
    </row>
    <row r="15" spans="1:14" s="48" customFormat="1" ht="18.75" customHeight="1">
      <c r="A15" s="59" t="s">
        <v>178</v>
      </c>
      <c r="B15" s="1151" t="s">
        <v>268</v>
      </c>
      <c r="C15" s="1151"/>
      <c r="D15" s="1151"/>
      <c r="E15" s="1152"/>
      <c r="F15" s="1152"/>
      <c r="G15" s="1152"/>
      <c r="H15" s="1153"/>
      <c r="I15" s="1154"/>
      <c r="J15" s="47"/>
      <c r="K15" s="25"/>
      <c r="L15" s="25"/>
      <c r="M15" s="25"/>
      <c r="N15" s="25"/>
    </row>
    <row r="16" spans="1:14" s="48" customFormat="1" ht="18.75" customHeight="1">
      <c r="A16" s="84" t="s">
        <v>19</v>
      </c>
      <c r="B16" s="1155" t="s">
        <v>269</v>
      </c>
      <c r="C16" s="1155"/>
      <c r="D16" s="1155"/>
      <c r="E16" s="1152"/>
      <c r="F16" s="1152"/>
      <c r="G16" s="1152"/>
      <c r="H16" s="1156">
        <f>SUM(H17:H19)</f>
        <v>76052</v>
      </c>
      <c r="I16" s="1154"/>
      <c r="J16" s="47"/>
      <c r="K16" s="25"/>
      <c r="L16" s="25"/>
      <c r="M16" s="25"/>
      <c r="N16" s="25"/>
    </row>
    <row r="17" spans="1:14" s="48" customFormat="1" ht="18.75" customHeight="1">
      <c r="A17" s="84"/>
      <c r="B17" s="1143" t="s">
        <v>1166</v>
      </c>
      <c r="C17" s="1144" t="s">
        <v>1155</v>
      </c>
      <c r="D17" s="1144" t="s">
        <v>1167</v>
      </c>
      <c r="E17" s="1144" t="s">
        <v>1157</v>
      </c>
      <c r="F17" s="1144">
        <v>8</v>
      </c>
      <c r="G17" s="1144">
        <v>5</v>
      </c>
      <c r="H17" s="1145">
        <v>16660</v>
      </c>
      <c r="I17" s="1146" t="s">
        <v>1168</v>
      </c>
      <c r="J17" s="47"/>
      <c r="K17" s="25"/>
      <c r="L17" s="25"/>
      <c r="M17" s="25"/>
      <c r="N17" s="25"/>
    </row>
    <row r="18" spans="1:14" s="48" customFormat="1" ht="18.75" customHeight="1">
      <c r="A18" s="84"/>
      <c r="B18" s="571" t="s">
        <v>1169</v>
      </c>
      <c r="C18" s="10" t="s">
        <v>1147</v>
      </c>
      <c r="D18" s="571" t="s">
        <v>1170</v>
      </c>
      <c r="E18" s="65" t="s">
        <v>1148</v>
      </c>
      <c r="F18" s="10">
        <v>8</v>
      </c>
      <c r="G18" s="10">
        <v>5</v>
      </c>
      <c r="H18" s="576">
        <v>49392</v>
      </c>
      <c r="I18" s="12" t="s">
        <v>1171</v>
      </c>
      <c r="J18" s="47"/>
      <c r="K18" s="25"/>
      <c r="L18" s="25"/>
      <c r="M18" s="25"/>
      <c r="N18" s="25"/>
    </row>
    <row r="19" spans="1:14" s="48" customFormat="1" ht="27.9" customHeight="1">
      <c r="A19" s="84"/>
      <c r="B19" s="577" t="s">
        <v>1172</v>
      </c>
      <c r="C19" s="10" t="s">
        <v>1147</v>
      </c>
      <c r="D19" s="571" t="s">
        <v>1173</v>
      </c>
      <c r="E19" s="65"/>
      <c r="F19" s="10">
        <v>2</v>
      </c>
      <c r="G19" s="10"/>
      <c r="H19" s="578">
        <v>10000</v>
      </c>
      <c r="I19" s="12"/>
      <c r="J19" s="47"/>
      <c r="K19" s="25"/>
      <c r="L19" s="25"/>
      <c r="M19" s="25"/>
      <c r="N19" s="25"/>
    </row>
    <row r="20" spans="1:14" s="48" customFormat="1" ht="18" customHeight="1">
      <c r="A20" s="84" t="s">
        <v>41</v>
      </c>
      <c r="B20" s="81" t="s">
        <v>270</v>
      </c>
      <c r="C20" s="81"/>
      <c r="D20" s="81"/>
      <c r="E20" s="10"/>
      <c r="F20" s="10"/>
      <c r="G20" s="10"/>
      <c r="H20" s="666">
        <f>H21+H22</f>
        <v>16000</v>
      </c>
      <c r="I20" s="12"/>
      <c r="J20" s="47"/>
      <c r="K20" s="25"/>
      <c r="L20" s="25"/>
      <c r="M20" s="25"/>
      <c r="N20" s="25"/>
    </row>
    <row r="21" spans="1:14" s="48" customFormat="1" ht="30.9" customHeight="1">
      <c r="A21" s="85">
        <v>1</v>
      </c>
      <c r="B21" s="86" t="s">
        <v>1174</v>
      </c>
      <c r="C21" s="573"/>
      <c r="D21" s="573"/>
      <c r="E21" s="87"/>
      <c r="F21" s="87"/>
      <c r="G21" s="87"/>
      <c r="H21" s="665">
        <v>8000</v>
      </c>
      <c r="I21" s="88"/>
      <c r="J21" s="47"/>
      <c r="K21" s="25"/>
      <c r="L21" s="25"/>
      <c r="M21" s="25"/>
      <c r="N21" s="25"/>
    </row>
    <row r="22" spans="1:14" s="48" customFormat="1" ht="35.15" customHeight="1">
      <c r="A22" s="85">
        <v>2</v>
      </c>
      <c r="B22" s="86" t="s">
        <v>1175</v>
      </c>
      <c r="C22" s="573"/>
      <c r="D22" s="573"/>
      <c r="E22" s="87"/>
      <c r="F22" s="87"/>
      <c r="G22" s="87"/>
      <c r="H22" s="665">
        <v>8000</v>
      </c>
      <c r="I22" s="88"/>
      <c r="J22" s="47"/>
      <c r="K22" s="25"/>
      <c r="L22" s="25"/>
      <c r="M22" s="25"/>
      <c r="N22" s="25"/>
    </row>
    <row r="23" spans="1:14" s="48" customFormat="1" ht="18" customHeight="1">
      <c r="A23" s="85"/>
      <c r="B23" s="86"/>
      <c r="C23" s="86"/>
      <c r="D23" s="86"/>
      <c r="E23" s="87"/>
      <c r="F23" s="87"/>
      <c r="G23" s="87"/>
      <c r="H23" s="579"/>
      <c r="I23" s="88"/>
      <c r="J23" s="47"/>
      <c r="K23" s="25"/>
      <c r="L23" s="25"/>
      <c r="M23" s="25"/>
      <c r="N23" s="25"/>
    </row>
    <row r="24" spans="1:14" s="48" customFormat="1" ht="18" customHeight="1" thickBot="1">
      <c r="A24" s="1411" t="s">
        <v>271</v>
      </c>
      <c r="B24" s="1412"/>
      <c r="C24" s="89"/>
      <c r="D24" s="89"/>
      <c r="E24" s="67"/>
      <c r="F24" s="67"/>
      <c r="G24" s="67"/>
      <c r="H24" s="67"/>
      <c r="I24" s="68"/>
      <c r="J24" s="47"/>
      <c r="K24" s="25"/>
      <c r="L24" s="25"/>
      <c r="M24" s="25"/>
      <c r="N24" s="25"/>
    </row>
    <row r="25" spans="1:14" ht="14.5" thickTop="1">
      <c r="A25" s="90"/>
      <c r="B25" s="91"/>
      <c r="C25" s="91"/>
      <c r="D25" s="91"/>
      <c r="E25" s="91"/>
      <c r="F25" s="91"/>
      <c r="G25" s="91"/>
      <c r="H25" s="91"/>
      <c r="I25" s="92"/>
      <c r="J25" s="2"/>
      <c r="K25" s="24"/>
      <c r="L25" s="24"/>
      <c r="M25" s="24"/>
      <c r="N25" s="24"/>
    </row>
    <row r="26" spans="1:14" ht="15" customHeight="1">
      <c r="F26" s="1407" t="s">
        <v>42</v>
      </c>
      <c r="G26" s="1407"/>
      <c r="H26" s="1407"/>
      <c r="I26" s="1407"/>
      <c r="J26" s="93"/>
      <c r="K26" s="93"/>
      <c r="L26" s="24"/>
      <c r="M26" s="24"/>
      <c r="N26" s="24"/>
    </row>
    <row r="27" spans="1:14">
      <c r="A27" s="477"/>
      <c r="B27" s="1"/>
      <c r="C27" s="1"/>
      <c r="D27" s="1"/>
      <c r="E27" s="1"/>
      <c r="F27" s="1368" t="s">
        <v>1429</v>
      </c>
      <c r="G27" s="1368"/>
      <c r="H27" s="1368"/>
      <c r="I27" s="1368"/>
      <c r="J27" s="2"/>
      <c r="K27" s="24"/>
      <c r="L27" s="24"/>
      <c r="M27" s="24"/>
      <c r="N27" s="24"/>
    </row>
    <row r="28" spans="1:14">
      <c r="A28" s="477"/>
      <c r="B28" s="1"/>
      <c r="C28" s="1"/>
      <c r="D28" s="1"/>
      <c r="E28" s="1"/>
      <c r="F28" s="41"/>
      <c r="G28" s="41"/>
      <c r="H28" s="41"/>
      <c r="I28" s="69"/>
      <c r="J28" s="2"/>
      <c r="K28" s="24"/>
      <c r="L28" s="24"/>
      <c r="M28" s="24"/>
      <c r="N28" s="24"/>
    </row>
    <row r="29" spans="1:14" ht="13.5" customHeight="1">
      <c r="A29" s="477"/>
      <c r="B29" s="1"/>
      <c r="C29" s="1"/>
      <c r="D29" s="1"/>
      <c r="E29" s="1"/>
      <c r="F29" s="41"/>
      <c r="G29" s="41"/>
      <c r="H29" s="41"/>
      <c r="I29" s="69"/>
      <c r="J29" s="2"/>
      <c r="K29" s="24"/>
      <c r="L29" s="24"/>
      <c r="M29" s="24"/>
      <c r="N29" s="24"/>
    </row>
    <row r="30" spans="1:14">
      <c r="A30" s="477"/>
      <c r="B30" s="1"/>
      <c r="C30" s="1"/>
      <c r="D30" s="1"/>
      <c r="E30" s="1"/>
      <c r="F30" s="41"/>
      <c r="G30" s="41"/>
      <c r="H30" s="41"/>
      <c r="I30" s="69"/>
      <c r="J30" s="2"/>
      <c r="K30" s="24"/>
      <c r="L30" s="24"/>
      <c r="M30" s="24"/>
      <c r="N30" s="24"/>
    </row>
    <row r="31" spans="1:14">
      <c r="A31" s="477"/>
      <c r="B31" s="1"/>
      <c r="C31" s="1"/>
      <c r="D31" s="1"/>
      <c r="E31" s="1"/>
      <c r="F31" s="41"/>
      <c r="G31" s="41"/>
      <c r="H31" s="41"/>
      <c r="I31" s="69"/>
      <c r="J31" s="2"/>
      <c r="K31" s="24"/>
      <c r="L31" s="24"/>
      <c r="M31" s="24"/>
      <c r="N31" s="24"/>
    </row>
    <row r="32" spans="1:14">
      <c r="A32" s="477"/>
      <c r="B32" s="1"/>
      <c r="C32" s="1"/>
      <c r="D32" s="1"/>
      <c r="E32" s="1"/>
      <c r="F32" s="1368" t="s">
        <v>1431</v>
      </c>
      <c r="G32" s="1368"/>
      <c r="H32" s="1368"/>
      <c r="I32" s="1368"/>
      <c r="J32" s="2"/>
      <c r="K32" s="24"/>
      <c r="L32" s="24"/>
      <c r="M32" s="24"/>
      <c r="N32" s="24"/>
    </row>
    <row r="33" spans="1:14">
      <c r="A33" s="477"/>
      <c r="B33" s="1"/>
      <c r="C33" s="1"/>
      <c r="D33" s="1"/>
      <c r="E33" s="1"/>
      <c r="F33" s="1"/>
      <c r="G33" s="1"/>
      <c r="H33" s="1"/>
      <c r="I33" s="2"/>
      <c r="J33" s="2"/>
      <c r="K33" s="24"/>
      <c r="L33" s="24"/>
      <c r="M33" s="24"/>
      <c r="N33" s="24"/>
    </row>
    <row r="34" spans="1:14">
      <c r="A34" s="477"/>
      <c r="B34" s="1"/>
      <c r="C34" s="1"/>
      <c r="D34" s="1"/>
      <c r="E34" s="1"/>
      <c r="F34" s="1"/>
      <c r="G34" s="1"/>
      <c r="H34" s="1"/>
      <c r="I34" s="2"/>
      <c r="J34" s="2"/>
      <c r="K34" s="24"/>
      <c r="L34" s="24"/>
      <c r="M34" s="24"/>
      <c r="N34" s="24"/>
    </row>
    <row r="35" spans="1:14">
      <c r="A35" s="477"/>
      <c r="B35" s="1"/>
      <c r="C35" s="1"/>
      <c r="D35" s="1"/>
      <c r="E35" s="1"/>
      <c r="F35" s="1"/>
      <c r="G35" s="1"/>
      <c r="H35" s="1"/>
      <c r="I35" s="2"/>
      <c r="J35" s="2"/>
      <c r="K35" s="24"/>
      <c r="L35" s="24"/>
      <c r="M35" s="24"/>
      <c r="N35" s="24"/>
    </row>
    <row r="36" spans="1:14">
      <c r="A36" s="477"/>
      <c r="B36" s="1"/>
      <c r="C36" s="1"/>
      <c r="D36" s="1"/>
      <c r="E36" s="1"/>
      <c r="F36" s="1"/>
      <c r="G36" s="1"/>
      <c r="H36" s="1"/>
      <c r="I36" s="2"/>
      <c r="J36" s="2"/>
      <c r="K36" s="24"/>
      <c r="L36" s="24"/>
      <c r="M36" s="24"/>
      <c r="N36" s="24"/>
    </row>
    <row r="37" spans="1:14">
      <c r="A37" s="477"/>
      <c r="B37" s="1"/>
      <c r="C37" s="1"/>
      <c r="D37" s="1"/>
      <c r="E37" s="1"/>
      <c r="F37" s="1"/>
      <c r="G37" s="1"/>
      <c r="H37" s="1"/>
      <c r="I37" s="2"/>
      <c r="J37" s="2"/>
      <c r="K37" s="24"/>
      <c r="L37" s="24"/>
      <c r="M37" s="24"/>
      <c r="N37" s="24"/>
    </row>
    <row r="38" spans="1:14">
      <c r="A38" s="477"/>
      <c r="B38" s="1"/>
      <c r="C38" s="1"/>
      <c r="D38" s="1"/>
      <c r="E38" s="1"/>
      <c r="F38" s="1"/>
      <c r="G38" s="1"/>
      <c r="H38" s="1"/>
      <c r="I38" s="2"/>
      <c r="J38" s="2"/>
      <c r="K38" s="24"/>
      <c r="L38" s="24"/>
      <c r="M38" s="24"/>
      <c r="N38" s="24"/>
    </row>
    <row r="39" spans="1:14">
      <c r="A39" s="477"/>
      <c r="B39" s="1"/>
      <c r="C39" s="1"/>
      <c r="D39" s="1"/>
      <c r="E39" s="1"/>
      <c r="F39" s="1"/>
      <c r="G39" s="1"/>
      <c r="H39" s="1"/>
      <c r="I39" s="2"/>
      <c r="J39" s="2"/>
      <c r="K39" s="24"/>
      <c r="L39" s="24"/>
      <c r="M39" s="24"/>
      <c r="N39" s="24"/>
    </row>
    <row r="40" spans="1:14">
      <c r="A40" s="477"/>
      <c r="B40" s="1"/>
      <c r="C40" s="1"/>
      <c r="D40" s="1"/>
      <c r="E40" s="1"/>
      <c r="F40" s="1"/>
      <c r="G40" s="1"/>
      <c r="H40" s="1"/>
      <c r="I40" s="2"/>
      <c r="J40" s="2"/>
      <c r="K40" s="24"/>
      <c r="L40" s="24"/>
      <c r="M40" s="24"/>
      <c r="N40" s="24"/>
    </row>
    <row r="41" spans="1:14">
      <c r="A41" s="477"/>
      <c r="B41" s="1"/>
      <c r="C41" s="1"/>
      <c r="D41" s="1"/>
      <c r="E41" s="1"/>
      <c r="F41" s="1"/>
      <c r="G41" s="1"/>
      <c r="H41" s="1"/>
      <c r="I41" s="2"/>
      <c r="J41" s="2"/>
      <c r="K41" s="24"/>
      <c r="L41" s="24"/>
      <c r="M41" s="24"/>
      <c r="N41" s="24"/>
    </row>
    <row r="42" spans="1:14">
      <c r="A42" s="477"/>
      <c r="B42" s="1"/>
      <c r="C42" s="1"/>
      <c r="D42" s="1"/>
      <c r="E42" s="1"/>
      <c r="F42" s="1"/>
      <c r="G42" s="1"/>
      <c r="H42" s="1"/>
      <c r="I42" s="2"/>
      <c r="J42" s="2"/>
      <c r="K42" s="24"/>
      <c r="L42" s="24"/>
      <c r="M42" s="24"/>
      <c r="N42" s="24"/>
    </row>
    <row r="43" spans="1:14">
      <c r="A43" s="477"/>
      <c r="B43" s="1"/>
      <c r="C43" s="1"/>
      <c r="D43" s="1"/>
      <c r="E43" s="1"/>
      <c r="F43" s="1"/>
      <c r="G43" s="1"/>
      <c r="H43" s="1"/>
      <c r="I43" s="2"/>
      <c r="J43" s="2"/>
      <c r="K43" s="24"/>
      <c r="L43" s="24"/>
      <c r="M43" s="24"/>
      <c r="N43" s="24"/>
    </row>
    <row r="44" spans="1:14">
      <c r="A44" s="477"/>
      <c r="B44" s="1"/>
      <c r="C44" s="1"/>
      <c r="D44" s="1"/>
      <c r="E44" s="1"/>
      <c r="F44" s="1"/>
      <c r="G44" s="1"/>
      <c r="H44" s="1"/>
      <c r="I44" s="2"/>
      <c r="J44" s="2"/>
      <c r="K44" s="24"/>
      <c r="L44" s="24"/>
      <c r="M44" s="24"/>
      <c r="N44" s="24"/>
    </row>
    <row r="45" spans="1:14">
      <c r="A45" s="477"/>
      <c r="B45" s="1"/>
      <c r="C45" s="1"/>
      <c r="D45" s="1"/>
      <c r="E45" s="1"/>
      <c r="F45" s="1"/>
      <c r="G45" s="1"/>
      <c r="H45" s="1"/>
      <c r="I45" s="2"/>
      <c r="J45" s="2"/>
      <c r="K45" s="24"/>
      <c r="L45" s="24"/>
      <c r="M45" s="24"/>
      <c r="N45" s="24"/>
    </row>
    <row r="46" spans="1:14">
      <c r="A46" s="477"/>
      <c r="B46" s="1"/>
      <c r="C46" s="1"/>
      <c r="D46" s="1"/>
      <c r="E46" s="1"/>
      <c r="F46" s="1"/>
      <c r="G46" s="1"/>
      <c r="H46" s="1"/>
      <c r="I46" s="2"/>
      <c r="J46" s="2"/>
      <c r="K46" s="24"/>
      <c r="L46" s="24"/>
      <c r="M46" s="24"/>
      <c r="N46" s="24"/>
    </row>
    <row r="47" spans="1:14">
      <c r="A47" s="477"/>
      <c r="B47" s="1"/>
      <c r="C47" s="1"/>
      <c r="D47" s="1"/>
      <c r="E47" s="1"/>
      <c r="F47" s="1"/>
      <c r="G47" s="1"/>
      <c r="H47" s="1"/>
      <c r="I47" s="2"/>
      <c r="J47" s="2"/>
      <c r="K47" s="24"/>
      <c r="L47" s="24"/>
      <c r="M47" s="24"/>
      <c r="N47" s="24"/>
    </row>
    <row r="48" spans="1:14">
      <c r="A48" s="477"/>
      <c r="B48" s="1"/>
      <c r="C48" s="1"/>
      <c r="D48" s="1"/>
      <c r="E48" s="1"/>
      <c r="F48" s="1"/>
      <c r="G48" s="1"/>
      <c r="H48" s="1"/>
      <c r="I48" s="2"/>
      <c r="J48" s="2"/>
      <c r="K48" s="24"/>
      <c r="L48" s="24"/>
      <c r="M48" s="24"/>
      <c r="N48" s="24"/>
    </row>
    <row r="49" spans="1:14">
      <c r="A49" s="477"/>
      <c r="B49" s="1"/>
      <c r="C49" s="1"/>
      <c r="D49" s="1"/>
      <c r="E49" s="1"/>
      <c r="F49" s="1"/>
      <c r="G49" s="1"/>
      <c r="H49" s="1"/>
      <c r="I49" s="2"/>
      <c r="J49" s="2"/>
      <c r="K49" s="24"/>
      <c r="L49" s="24"/>
      <c r="M49" s="24"/>
      <c r="N49" s="24"/>
    </row>
    <row r="50" spans="1:14">
      <c r="A50" s="477"/>
      <c r="B50" s="1"/>
      <c r="C50" s="1"/>
      <c r="D50" s="1"/>
      <c r="E50" s="1"/>
      <c r="F50" s="1"/>
      <c r="G50" s="1"/>
      <c r="H50" s="1"/>
      <c r="I50" s="2"/>
      <c r="J50" s="2"/>
      <c r="K50" s="24"/>
      <c r="L50" s="24"/>
      <c r="M50" s="24"/>
      <c r="N50" s="24"/>
    </row>
    <row r="51" spans="1:14">
      <c r="A51" s="29"/>
      <c r="B51" s="30"/>
      <c r="C51" s="30"/>
      <c r="D51" s="30"/>
      <c r="E51" s="30"/>
      <c r="F51" s="30"/>
      <c r="G51" s="30"/>
      <c r="H51" s="30"/>
      <c r="I51" s="24"/>
      <c r="J51" s="24"/>
      <c r="K51" s="24"/>
      <c r="L51" s="24"/>
      <c r="M51" s="24"/>
      <c r="N51" s="24"/>
    </row>
  </sheetData>
  <mergeCells count="9">
    <mergeCell ref="F32:I32"/>
    <mergeCell ref="A1:B1"/>
    <mergeCell ref="C1:G1"/>
    <mergeCell ref="A2:B2"/>
    <mergeCell ref="C2:G2"/>
    <mergeCell ref="A3:I3"/>
    <mergeCell ref="A24:B24"/>
    <mergeCell ref="F26:I26"/>
    <mergeCell ref="F27:I27"/>
  </mergeCells>
  <pageMargins left="0" right="0" top="0" bottom="0" header="0" footer="0"/>
  <pageSetup scale="9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topLeftCell="A3" workbookViewId="0">
      <selection activeCell="B26" sqref="B26"/>
    </sheetView>
  </sheetViews>
  <sheetFormatPr defaultColWidth="8.9140625" defaultRowHeight="14"/>
  <cols>
    <col min="1" max="1" width="4.9140625" style="31" customWidth="1"/>
    <col min="2" max="2" width="52.08203125" style="32" customWidth="1"/>
    <col min="3" max="3" width="7.4140625" style="32" customWidth="1"/>
    <col min="4" max="4" width="9.4140625" style="32" customWidth="1"/>
    <col min="5" max="5" width="15.33203125" style="32" customWidth="1"/>
    <col min="6" max="6" width="6.9140625" style="32" customWidth="1"/>
    <col min="7" max="7" width="14.08203125" style="32" customWidth="1"/>
    <col min="8" max="8" width="12" style="32" customWidth="1"/>
    <col min="9" max="9" width="15.6640625" customWidth="1"/>
    <col min="10" max="10" width="53.08203125" bestFit="1" customWidth="1"/>
  </cols>
  <sheetData>
    <row r="1" spans="1:14" ht="14.25" customHeight="1">
      <c r="A1" s="1418" t="s">
        <v>256</v>
      </c>
      <c r="B1" s="1418"/>
      <c r="C1" s="1297"/>
      <c r="D1" s="1297"/>
      <c r="E1" s="1297"/>
      <c r="F1" s="1297"/>
      <c r="G1" s="1297"/>
      <c r="H1" s="72"/>
      <c r="I1" s="73" t="s">
        <v>257</v>
      </c>
      <c r="J1" s="2"/>
      <c r="K1" s="24"/>
      <c r="L1" s="24"/>
      <c r="M1" s="24"/>
      <c r="N1" s="24"/>
    </row>
    <row r="2" spans="1:14">
      <c r="A2" s="1302" t="s">
        <v>1439</v>
      </c>
      <c r="B2" s="1302"/>
      <c r="C2" s="1297"/>
      <c r="D2" s="1297"/>
      <c r="E2" s="1297"/>
      <c r="F2" s="1297"/>
      <c r="G2" s="1297"/>
      <c r="H2" s="72"/>
      <c r="I2" s="72"/>
      <c r="J2" s="2"/>
      <c r="K2" s="24"/>
      <c r="L2" s="24"/>
      <c r="M2" s="24"/>
      <c r="N2" s="24"/>
    </row>
    <row r="3" spans="1:14" ht="27" customHeight="1">
      <c r="A3" s="1302" t="s">
        <v>258</v>
      </c>
      <c r="B3" s="1302"/>
      <c r="C3" s="1302"/>
      <c r="D3" s="1302"/>
      <c r="E3" s="1302"/>
      <c r="F3" s="1302"/>
      <c r="G3" s="1302"/>
      <c r="H3" s="1302"/>
      <c r="I3" s="1302"/>
      <c r="J3" s="2"/>
      <c r="K3" s="24"/>
      <c r="L3" s="24"/>
      <c r="M3" s="24"/>
      <c r="N3" s="24"/>
    </row>
    <row r="4" spans="1:14" ht="14.5" thickBot="1">
      <c r="A4" s="74"/>
      <c r="B4" s="74"/>
      <c r="C4" s="74"/>
      <c r="D4" s="74"/>
      <c r="E4" s="74"/>
      <c r="F4" s="74"/>
      <c r="G4" s="74"/>
      <c r="H4" s="74"/>
      <c r="I4" s="75" t="s">
        <v>259</v>
      </c>
      <c r="J4" s="2"/>
      <c r="K4" s="24"/>
      <c r="L4" s="24"/>
      <c r="M4" s="24"/>
      <c r="N4" s="24"/>
    </row>
    <row r="5" spans="1:14" ht="75" customHeight="1" thickTop="1">
      <c r="A5" s="479" t="s">
        <v>5</v>
      </c>
      <c r="B5" s="480" t="s">
        <v>260</v>
      </c>
      <c r="C5" s="480" t="s">
        <v>261</v>
      </c>
      <c r="D5" s="480" t="s">
        <v>262</v>
      </c>
      <c r="E5" s="480" t="s">
        <v>263</v>
      </c>
      <c r="F5" s="480" t="s">
        <v>264</v>
      </c>
      <c r="G5" s="480" t="s">
        <v>265</v>
      </c>
      <c r="H5" s="480" t="s">
        <v>1145</v>
      </c>
      <c r="I5" s="478" t="s">
        <v>16</v>
      </c>
      <c r="J5" s="2"/>
      <c r="K5" s="24"/>
      <c r="L5" s="24"/>
      <c r="M5" s="24"/>
      <c r="N5" s="24"/>
    </row>
    <row r="6" spans="1:14" ht="17.25" customHeight="1">
      <c r="A6" s="76" t="s">
        <v>17</v>
      </c>
      <c r="B6" s="77" t="s">
        <v>267</v>
      </c>
      <c r="C6" s="78"/>
      <c r="D6" s="78"/>
      <c r="E6" s="78"/>
      <c r="F6" s="78"/>
      <c r="G6" s="78"/>
      <c r="H6" s="78"/>
      <c r="I6" s="79"/>
      <c r="J6" s="280"/>
      <c r="K6" s="24"/>
      <c r="L6" s="24"/>
      <c r="M6" s="24"/>
      <c r="N6" s="24"/>
    </row>
    <row r="7" spans="1:14" s="46" customFormat="1" ht="17.25" hidden="1" customHeight="1">
      <c r="A7" s="80" t="s">
        <v>19</v>
      </c>
      <c r="B7" s="81" t="s">
        <v>616</v>
      </c>
      <c r="C7" s="81"/>
      <c r="D7" s="81"/>
      <c r="E7" s="82"/>
      <c r="F7" s="82"/>
      <c r="G7" s="82"/>
      <c r="H7" s="82"/>
      <c r="I7" s="83"/>
      <c r="J7" s="44"/>
      <c r="K7" s="45"/>
      <c r="L7" s="45"/>
      <c r="M7" s="45"/>
      <c r="N7" s="45"/>
    </row>
    <row r="8" spans="1:14" s="46" customFormat="1" ht="15.75" hidden="1" customHeight="1">
      <c r="A8" s="63"/>
      <c r="B8" s="64"/>
      <c r="C8" s="64"/>
      <c r="D8" s="64"/>
      <c r="E8" s="61"/>
      <c r="F8" s="61"/>
      <c r="G8" s="61"/>
      <c r="H8" s="61"/>
      <c r="I8" s="62"/>
      <c r="J8" s="44"/>
      <c r="K8" s="45"/>
      <c r="L8" s="45"/>
      <c r="M8" s="45"/>
      <c r="N8" s="45"/>
    </row>
    <row r="9" spans="1:14" s="46" customFormat="1" ht="15.75" hidden="1" customHeight="1">
      <c r="A9" s="63"/>
      <c r="B9" s="64"/>
      <c r="C9" s="64"/>
      <c r="D9" s="64"/>
      <c r="E9" s="61"/>
      <c r="F9" s="61"/>
      <c r="G9" s="61"/>
      <c r="H9" s="61"/>
      <c r="I9" s="62"/>
      <c r="J9" s="44"/>
      <c r="K9" s="45"/>
      <c r="L9" s="45"/>
      <c r="M9" s="45"/>
      <c r="N9" s="45"/>
    </row>
    <row r="10" spans="1:14" s="46" customFormat="1" ht="15.75" hidden="1" customHeight="1">
      <c r="A10" s="63"/>
      <c r="B10" s="64"/>
      <c r="C10" s="64"/>
      <c r="D10" s="64"/>
      <c r="E10" s="61"/>
      <c r="F10" s="61"/>
      <c r="G10" s="61"/>
      <c r="H10" s="61"/>
      <c r="I10" s="62"/>
      <c r="J10" s="44"/>
      <c r="K10" s="45"/>
      <c r="L10" s="45"/>
      <c r="M10" s="45"/>
      <c r="N10" s="45"/>
    </row>
    <row r="11" spans="1:14" s="46" customFormat="1" ht="15.75" hidden="1" customHeight="1">
      <c r="A11" s="59" t="s">
        <v>41</v>
      </c>
      <c r="B11" s="81" t="s">
        <v>616</v>
      </c>
      <c r="C11" s="60"/>
      <c r="D11" s="60"/>
      <c r="E11" s="65"/>
      <c r="F11" s="65"/>
      <c r="G11" s="65"/>
      <c r="H11" s="65"/>
      <c r="I11" s="66"/>
      <c r="J11" s="44"/>
      <c r="K11" s="45"/>
      <c r="L11" s="45"/>
      <c r="M11" s="45"/>
      <c r="N11" s="45"/>
    </row>
    <row r="12" spans="1:14" s="46" customFormat="1" ht="15.75" hidden="1" customHeight="1">
      <c r="A12" s="63">
        <v>1</v>
      </c>
      <c r="B12" s="64"/>
      <c r="C12" s="64"/>
      <c r="D12" s="64"/>
      <c r="E12" s="65"/>
      <c r="F12" s="65"/>
      <c r="G12" s="65"/>
      <c r="H12" s="65"/>
      <c r="I12" s="66"/>
      <c r="J12" s="44"/>
      <c r="K12" s="45"/>
      <c r="L12" s="45"/>
      <c r="M12" s="45"/>
      <c r="N12" s="45"/>
    </row>
    <row r="13" spans="1:14" s="46" customFormat="1" ht="15.75" hidden="1" customHeight="1">
      <c r="A13" s="63">
        <v>2</v>
      </c>
      <c r="B13" s="64"/>
      <c r="C13" s="64"/>
      <c r="D13" s="64"/>
      <c r="E13" s="65"/>
      <c r="F13" s="65"/>
      <c r="G13" s="65"/>
      <c r="H13" s="65"/>
      <c r="I13" s="66"/>
      <c r="J13" s="44"/>
      <c r="K13" s="45"/>
      <c r="L13" s="45"/>
      <c r="M13" s="45"/>
      <c r="N13" s="45"/>
    </row>
    <row r="14" spans="1:14" s="46" customFormat="1" ht="15.75" hidden="1" customHeight="1">
      <c r="A14" s="63"/>
      <c r="B14" s="64"/>
      <c r="C14" s="64"/>
      <c r="D14" s="64"/>
      <c r="E14" s="65"/>
      <c r="F14" s="65"/>
      <c r="G14" s="65"/>
      <c r="H14" s="65"/>
      <c r="I14" s="66"/>
      <c r="J14" s="44"/>
      <c r="K14" s="45"/>
      <c r="L14" s="45"/>
      <c r="M14" s="45"/>
      <c r="N14" s="45"/>
    </row>
    <row r="15" spans="1:14" s="48" customFormat="1" ht="18.75" customHeight="1">
      <c r="A15" s="59" t="s">
        <v>178</v>
      </c>
      <c r="B15" s="60" t="s">
        <v>268</v>
      </c>
      <c r="C15" s="60"/>
      <c r="D15" s="60"/>
      <c r="E15" s="10"/>
      <c r="F15" s="10"/>
      <c r="G15" s="10"/>
      <c r="H15" s="10"/>
      <c r="I15" s="12"/>
      <c r="J15" s="47"/>
      <c r="K15" s="25"/>
      <c r="L15" s="25"/>
      <c r="M15" s="25"/>
      <c r="N15" s="25"/>
    </row>
    <row r="16" spans="1:14" s="48" customFormat="1" ht="18.75" customHeight="1">
      <c r="A16" s="84" t="s">
        <v>19</v>
      </c>
      <c r="B16" s="81" t="s">
        <v>269</v>
      </c>
      <c r="C16" s="81"/>
      <c r="D16" s="81"/>
      <c r="E16" s="10"/>
      <c r="F16" s="10"/>
      <c r="G16" s="10"/>
      <c r="H16" s="661">
        <f>SUM(H17:H20)</f>
        <v>87380</v>
      </c>
      <c r="I16" s="12"/>
      <c r="J16" s="47"/>
      <c r="K16" s="25"/>
      <c r="L16" s="25"/>
      <c r="M16" s="25"/>
      <c r="N16" s="25"/>
    </row>
    <row r="17" spans="1:14" s="48" customFormat="1" ht="18.75" customHeight="1">
      <c r="A17" s="84"/>
      <c r="B17" s="571" t="s">
        <v>1176</v>
      </c>
      <c r="C17" s="571" t="s">
        <v>1147</v>
      </c>
      <c r="D17" s="571" t="s">
        <v>1139</v>
      </c>
      <c r="E17" s="10" t="s">
        <v>1148</v>
      </c>
      <c r="F17" s="10">
        <v>2</v>
      </c>
      <c r="G17" s="10">
        <v>5</v>
      </c>
      <c r="H17" s="572">
        <f>7*340*5*1.4</f>
        <v>16660</v>
      </c>
      <c r="I17" s="12"/>
      <c r="J17" s="47"/>
      <c r="K17" s="25"/>
      <c r="L17" s="25"/>
      <c r="M17" s="25"/>
      <c r="N17" s="25"/>
    </row>
    <row r="18" spans="1:14" s="48" customFormat="1" ht="18.75" customHeight="1">
      <c r="A18" s="84"/>
      <c r="B18" s="571" t="s">
        <v>1177</v>
      </c>
      <c r="C18" s="571" t="s">
        <v>1147</v>
      </c>
      <c r="D18" s="571" t="s">
        <v>1139</v>
      </c>
      <c r="E18" s="10" t="s">
        <v>1148</v>
      </c>
      <c r="F18" s="10">
        <v>2</v>
      </c>
      <c r="G18" s="10">
        <v>5</v>
      </c>
      <c r="H18" s="572">
        <f>8*340*5*1.4</f>
        <v>19040</v>
      </c>
      <c r="I18" s="12"/>
      <c r="J18" s="47"/>
      <c r="K18" s="25"/>
      <c r="L18" s="25"/>
      <c r="M18" s="25"/>
      <c r="N18" s="25"/>
    </row>
    <row r="19" spans="1:14" s="48" customFormat="1" ht="18.75" customHeight="1">
      <c r="A19" s="84"/>
      <c r="B19" s="571" t="s">
        <v>1178</v>
      </c>
      <c r="C19" s="571" t="s">
        <v>1147</v>
      </c>
      <c r="D19" s="571" t="s">
        <v>1139</v>
      </c>
      <c r="E19" s="10" t="s">
        <v>1148</v>
      </c>
      <c r="F19" s="10">
        <v>2</v>
      </c>
      <c r="G19" s="10">
        <v>5</v>
      </c>
      <c r="H19" s="572">
        <f>19*340*5*1.4</f>
        <v>45220</v>
      </c>
      <c r="I19" s="12"/>
      <c r="J19" s="47"/>
      <c r="K19" s="25"/>
      <c r="L19" s="25"/>
      <c r="M19" s="25"/>
      <c r="N19" s="25"/>
    </row>
    <row r="20" spans="1:14" s="48" customFormat="1" ht="18" customHeight="1">
      <c r="A20" s="84"/>
      <c r="B20" s="571" t="s">
        <v>1149</v>
      </c>
      <c r="C20" s="571" t="s">
        <v>1147</v>
      </c>
      <c r="D20" s="571" t="s">
        <v>1141</v>
      </c>
      <c r="E20" s="10" t="s">
        <v>1148</v>
      </c>
      <c r="F20" s="10">
        <v>2</v>
      </c>
      <c r="G20" s="10"/>
      <c r="H20" s="572">
        <f>323*20</f>
        <v>6460</v>
      </c>
      <c r="I20" s="12"/>
      <c r="J20" s="47"/>
      <c r="K20" s="25"/>
      <c r="L20" s="25"/>
      <c r="M20" s="25"/>
      <c r="N20" s="25"/>
    </row>
    <row r="21" spans="1:14" s="48" customFormat="1" ht="18" customHeight="1">
      <c r="A21" s="84" t="s">
        <v>41</v>
      </c>
      <c r="B21" s="81" t="s">
        <v>270</v>
      </c>
      <c r="C21" s="81"/>
      <c r="D21" s="81"/>
      <c r="E21" s="10"/>
      <c r="F21" s="10"/>
      <c r="G21" s="10"/>
      <c r="H21" s="668">
        <f>H24</f>
        <v>2000</v>
      </c>
      <c r="I21" s="12"/>
      <c r="J21" s="47"/>
      <c r="K21" s="25"/>
      <c r="L21" s="25"/>
      <c r="M21" s="25"/>
      <c r="N21" s="25"/>
    </row>
    <row r="22" spans="1:14" s="48" customFormat="1" ht="18" customHeight="1">
      <c r="A22" s="1279"/>
      <c r="B22" s="573"/>
      <c r="C22" s="573"/>
      <c r="D22" s="573"/>
      <c r="E22" s="87"/>
      <c r="F22" s="87"/>
      <c r="G22" s="87"/>
      <c r="H22" s="1280"/>
      <c r="I22" s="88"/>
      <c r="J22" s="47"/>
      <c r="K22" s="25"/>
      <c r="L22" s="25"/>
      <c r="M22" s="25"/>
      <c r="N22" s="25"/>
    </row>
    <row r="23" spans="1:14" s="48" customFormat="1" ht="18" customHeight="1">
      <c r="A23" s="1279"/>
      <c r="B23" s="573"/>
      <c r="C23" s="573"/>
      <c r="D23" s="573"/>
      <c r="E23" s="87"/>
      <c r="F23" s="87"/>
      <c r="G23" s="87"/>
      <c r="H23" s="1280"/>
      <c r="I23" s="88"/>
      <c r="J23" s="47"/>
      <c r="K23" s="25"/>
      <c r="L23" s="25"/>
      <c r="M23" s="25"/>
      <c r="N23" s="25"/>
    </row>
    <row r="24" spans="1:14" s="48" customFormat="1" ht="18" customHeight="1">
      <c r="A24" s="85"/>
      <c r="B24" s="86" t="s">
        <v>1179</v>
      </c>
      <c r="C24" s="86"/>
      <c r="D24" s="86"/>
      <c r="E24" s="87"/>
      <c r="F24" s="87"/>
      <c r="G24" s="87"/>
      <c r="H24" s="580">
        <v>2000</v>
      </c>
      <c r="I24" s="88"/>
      <c r="J24" s="47"/>
      <c r="K24" s="25"/>
      <c r="L24" s="25"/>
      <c r="M24" s="25"/>
      <c r="N24" s="25"/>
    </row>
    <row r="25" spans="1:14" s="48" customFormat="1" ht="18" customHeight="1" thickBot="1">
      <c r="A25" s="1411" t="s">
        <v>271</v>
      </c>
      <c r="B25" s="1412"/>
      <c r="C25" s="89"/>
      <c r="D25" s="89"/>
      <c r="E25" s="67"/>
      <c r="F25" s="67"/>
      <c r="G25" s="67"/>
      <c r="H25" s="1240">
        <f>H21+H16</f>
        <v>89380</v>
      </c>
      <c r="I25" s="68"/>
      <c r="J25" s="47"/>
      <c r="K25" s="25"/>
      <c r="L25" s="25"/>
      <c r="M25" s="25"/>
      <c r="N25" s="25"/>
    </row>
    <row r="26" spans="1:14" ht="14.5" thickTop="1">
      <c r="A26" s="90"/>
      <c r="B26" s="91"/>
      <c r="C26" s="91"/>
      <c r="D26" s="91"/>
      <c r="E26" s="91"/>
      <c r="F26" s="91"/>
      <c r="G26" s="91"/>
      <c r="H26" s="91"/>
      <c r="I26" s="92"/>
      <c r="J26" s="2"/>
      <c r="K26" s="24"/>
      <c r="L26" s="24"/>
      <c r="M26" s="24"/>
      <c r="N26" s="24"/>
    </row>
    <row r="27" spans="1:14" ht="15" customHeight="1">
      <c r="F27" s="1407" t="s">
        <v>42</v>
      </c>
      <c r="G27" s="1407"/>
      <c r="H27" s="1407"/>
      <c r="I27" s="1407"/>
      <c r="J27" s="93"/>
      <c r="K27" s="93"/>
      <c r="L27" s="24"/>
      <c r="M27" s="24"/>
      <c r="N27" s="24"/>
    </row>
    <row r="28" spans="1:14">
      <c r="A28" s="477"/>
      <c r="B28" s="1"/>
      <c r="C28" s="1"/>
      <c r="D28" s="1"/>
      <c r="E28" s="1"/>
      <c r="F28" s="1368" t="s">
        <v>1429</v>
      </c>
      <c r="G28" s="1368"/>
      <c r="H28" s="1368"/>
      <c r="I28" s="1368"/>
      <c r="J28" s="2"/>
      <c r="K28" s="24"/>
      <c r="L28" s="24"/>
      <c r="M28" s="24"/>
      <c r="N28" s="24"/>
    </row>
    <row r="29" spans="1:14">
      <c r="A29" s="477"/>
      <c r="B29" s="1"/>
      <c r="C29" s="1"/>
      <c r="D29" s="1"/>
      <c r="E29" s="1"/>
      <c r="F29" s="41"/>
      <c r="G29" s="41"/>
      <c r="H29" s="41"/>
      <c r="I29" s="69"/>
      <c r="J29" s="2"/>
      <c r="K29" s="24"/>
      <c r="L29" s="24"/>
      <c r="M29" s="24"/>
      <c r="N29" s="24"/>
    </row>
    <row r="30" spans="1:14" ht="13.5" customHeight="1">
      <c r="A30" s="477"/>
      <c r="B30" s="1"/>
      <c r="C30" s="1"/>
      <c r="D30" s="1"/>
      <c r="E30" s="1"/>
      <c r="F30" s="41"/>
      <c r="G30" s="41"/>
      <c r="H30" s="41"/>
      <c r="I30" s="69"/>
      <c r="J30" s="2"/>
      <c r="K30" s="24"/>
      <c r="L30" s="24"/>
      <c r="M30" s="24"/>
      <c r="N30" s="24"/>
    </row>
    <row r="31" spans="1:14">
      <c r="A31" s="477"/>
      <c r="B31" s="1"/>
      <c r="C31" s="1"/>
      <c r="D31" s="1"/>
      <c r="E31" s="1"/>
      <c r="F31" s="41"/>
      <c r="G31" s="41"/>
      <c r="H31" s="41"/>
      <c r="I31" s="69"/>
      <c r="J31" s="2"/>
      <c r="K31" s="24"/>
      <c r="L31" s="24"/>
      <c r="M31" s="24"/>
      <c r="N31" s="24"/>
    </row>
    <row r="32" spans="1:14">
      <c r="A32" s="477"/>
      <c r="B32" s="1"/>
      <c r="C32" s="1"/>
      <c r="D32" s="1"/>
      <c r="E32" s="1"/>
      <c r="F32" s="41"/>
      <c r="G32" s="41"/>
      <c r="H32" s="41"/>
      <c r="I32" s="69"/>
      <c r="J32" s="2"/>
      <c r="K32" s="24"/>
      <c r="L32" s="24"/>
      <c r="M32" s="24"/>
      <c r="N32" s="24"/>
    </row>
    <row r="33" spans="1:14">
      <c r="A33" s="477"/>
      <c r="B33" s="1"/>
      <c r="C33" s="1"/>
      <c r="D33" s="1"/>
      <c r="E33" s="1"/>
      <c r="F33" s="1368" t="s">
        <v>1435</v>
      </c>
      <c r="G33" s="1368"/>
      <c r="H33" s="1368"/>
      <c r="I33" s="1368"/>
      <c r="J33" s="2"/>
      <c r="K33" s="24"/>
      <c r="L33" s="24"/>
      <c r="M33" s="24"/>
      <c r="N33" s="24"/>
    </row>
    <row r="34" spans="1:14">
      <c r="A34" s="477"/>
      <c r="B34" s="1"/>
      <c r="C34" s="1"/>
      <c r="D34" s="1"/>
      <c r="E34" s="1"/>
      <c r="F34" s="1"/>
      <c r="G34" s="1"/>
      <c r="H34" s="1"/>
      <c r="I34" s="2"/>
      <c r="J34" s="2"/>
      <c r="K34" s="24"/>
      <c r="L34" s="24"/>
      <c r="M34" s="24"/>
      <c r="N34" s="24"/>
    </row>
    <row r="35" spans="1:14">
      <c r="A35" s="477"/>
      <c r="B35" s="1"/>
      <c r="C35" s="1"/>
      <c r="D35" s="1"/>
      <c r="E35" s="1"/>
      <c r="F35" s="1"/>
      <c r="G35" s="1"/>
      <c r="H35" s="1"/>
      <c r="I35" s="2"/>
      <c r="J35" s="2"/>
      <c r="K35" s="24"/>
      <c r="L35" s="24"/>
      <c r="M35" s="24"/>
      <c r="N35" s="24"/>
    </row>
    <row r="36" spans="1:14">
      <c r="A36" s="477"/>
      <c r="B36" s="1"/>
      <c r="C36" s="1"/>
      <c r="D36" s="1"/>
      <c r="E36" s="1"/>
      <c r="F36" s="1"/>
      <c r="G36" s="1"/>
      <c r="H36" s="1"/>
      <c r="I36" s="2"/>
      <c r="J36" s="2"/>
      <c r="K36" s="24"/>
      <c r="L36" s="24"/>
      <c r="M36" s="24"/>
      <c r="N36" s="24"/>
    </row>
    <row r="37" spans="1:14">
      <c r="A37" s="477"/>
      <c r="B37" s="1"/>
      <c r="C37" s="1"/>
      <c r="D37" s="1"/>
      <c r="E37" s="1"/>
      <c r="F37" s="1"/>
      <c r="G37" s="1"/>
      <c r="H37" s="1"/>
      <c r="I37" s="2"/>
      <c r="J37" s="2"/>
      <c r="K37" s="24"/>
      <c r="L37" s="24"/>
      <c r="M37" s="24"/>
      <c r="N37" s="24"/>
    </row>
    <row r="38" spans="1:14">
      <c r="A38" s="477"/>
      <c r="B38" s="1"/>
      <c r="C38" s="1"/>
      <c r="D38" s="1"/>
      <c r="E38" s="1"/>
      <c r="F38" s="1"/>
      <c r="G38" s="1"/>
      <c r="H38" s="1"/>
      <c r="I38" s="2"/>
      <c r="J38" s="2"/>
      <c r="K38" s="24"/>
      <c r="L38" s="24"/>
      <c r="M38" s="24"/>
      <c r="N38" s="24"/>
    </row>
    <row r="39" spans="1:14">
      <c r="A39" s="477"/>
      <c r="B39" s="1"/>
      <c r="C39" s="1"/>
      <c r="D39" s="1"/>
      <c r="E39" s="1"/>
      <c r="F39" s="1"/>
      <c r="G39" s="1"/>
      <c r="H39" s="1"/>
      <c r="I39" s="2"/>
      <c r="J39" s="2"/>
      <c r="K39" s="24"/>
      <c r="L39" s="24"/>
      <c r="M39" s="24"/>
      <c r="N39" s="24"/>
    </row>
    <row r="40" spans="1:14">
      <c r="A40" s="477"/>
      <c r="B40" s="1"/>
      <c r="C40" s="1"/>
      <c r="D40" s="1"/>
      <c r="E40" s="1"/>
      <c r="F40" s="1"/>
      <c r="G40" s="1"/>
      <c r="H40" s="1"/>
      <c r="I40" s="2"/>
      <c r="J40" s="2"/>
      <c r="K40" s="24"/>
      <c r="L40" s="24"/>
      <c r="M40" s="24"/>
      <c r="N40" s="24"/>
    </row>
    <row r="41" spans="1:14">
      <c r="A41" s="477"/>
      <c r="B41" s="1"/>
      <c r="C41" s="1"/>
      <c r="D41" s="1"/>
      <c r="E41" s="1"/>
      <c r="F41" s="1"/>
      <c r="G41" s="1"/>
      <c r="H41" s="1"/>
      <c r="I41" s="2"/>
      <c r="J41" s="2"/>
      <c r="K41" s="24"/>
      <c r="L41" s="24"/>
      <c r="M41" s="24"/>
      <c r="N41" s="24"/>
    </row>
    <row r="42" spans="1:14">
      <c r="A42" s="477"/>
      <c r="B42" s="1"/>
      <c r="C42" s="1"/>
      <c r="D42" s="1"/>
      <c r="E42" s="1"/>
      <c r="F42" s="1"/>
      <c r="G42" s="1"/>
      <c r="H42" s="1"/>
      <c r="I42" s="2"/>
      <c r="J42" s="2"/>
      <c r="K42" s="24"/>
      <c r="L42" s="24"/>
      <c r="M42" s="24"/>
      <c r="N42" s="24"/>
    </row>
    <row r="43" spans="1:14">
      <c r="A43" s="477"/>
      <c r="B43" s="1"/>
      <c r="C43" s="1"/>
      <c r="D43" s="1"/>
      <c r="E43" s="1"/>
      <c r="F43" s="1"/>
      <c r="G43" s="1"/>
      <c r="H43" s="1"/>
      <c r="I43" s="2"/>
      <c r="J43" s="2"/>
      <c r="K43" s="24"/>
      <c r="L43" s="24"/>
      <c r="M43" s="24"/>
      <c r="N43" s="24"/>
    </row>
    <row r="44" spans="1:14">
      <c r="A44" s="477"/>
      <c r="B44" s="1"/>
      <c r="C44" s="1"/>
      <c r="D44" s="1"/>
      <c r="E44" s="1"/>
      <c r="F44" s="1"/>
      <c r="G44" s="1"/>
      <c r="H44" s="1"/>
      <c r="I44" s="2"/>
      <c r="J44" s="2"/>
      <c r="K44" s="24"/>
      <c r="L44" s="24"/>
      <c r="M44" s="24"/>
      <c r="N44" s="24"/>
    </row>
    <row r="45" spans="1:14">
      <c r="A45" s="477"/>
      <c r="B45" s="1"/>
      <c r="C45" s="1"/>
      <c r="D45" s="1"/>
      <c r="E45" s="1"/>
      <c r="F45" s="1"/>
      <c r="G45" s="1"/>
      <c r="H45" s="1"/>
      <c r="I45" s="2"/>
      <c r="J45" s="2"/>
      <c r="K45" s="24"/>
      <c r="L45" s="24"/>
      <c r="M45" s="24"/>
      <c r="N45" s="24"/>
    </row>
    <row r="46" spans="1:14">
      <c r="A46" s="477"/>
      <c r="B46" s="1"/>
      <c r="C46" s="1"/>
      <c r="D46" s="1"/>
      <c r="E46" s="1"/>
      <c r="F46" s="1"/>
      <c r="G46" s="1"/>
      <c r="H46" s="1"/>
      <c r="I46" s="2"/>
      <c r="J46" s="2"/>
      <c r="K46" s="24"/>
      <c r="L46" s="24"/>
      <c r="M46" s="24"/>
      <c r="N46" s="24"/>
    </row>
    <row r="47" spans="1:14">
      <c r="A47" s="477"/>
      <c r="B47" s="1"/>
      <c r="C47" s="1"/>
      <c r="D47" s="1"/>
      <c r="E47" s="1"/>
      <c r="F47" s="1"/>
      <c r="G47" s="1"/>
      <c r="H47" s="1"/>
      <c r="I47" s="2"/>
      <c r="J47" s="2"/>
      <c r="K47" s="24"/>
      <c r="L47" s="24"/>
      <c r="M47" s="24"/>
      <c r="N47" s="24"/>
    </row>
    <row r="48" spans="1:14">
      <c r="A48" s="477"/>
      <c r="B48" s="1"/>
      <c r="C48" s="1"/>
      <c r="D48" s="1"/>
      <c r="E48" s="1"/>
      <c r="F48" s="1"/>
      <c r="G48" s="1"/>
      <c r="H48" s="1"/>
      <c r="I48" s="2"/>
      <c r="J48" s="2"/>
      <c r="K48" s="24"/>
      <c r="L48" s="24"/>
      <c r="M48" s="24"/>
      <c r="N48" s="24"/>
    </row>
    <row r="49" spans="1:14">
      <c r="A49" s="477"/>
      <c r="B49" s="1"/>
      <c r="C49" s="1"/>
      <c r="D49" s="1"/>
      <c r="E49" s="1"/>
      <c r="F49" s="1"/>
      <c r="G49" s="1"/>
      <c r="H49" s="1"/>
      <c r="I49" s="2"/>
      <c r="J49" s="2"/>
      <c r="K49" s="24"/>
      <c r="L49" s="24"/>
      <c r="M49" s="24"/>
      <c r="N49" s="24"/>
    </row>
    <row r="50" spans="1:14">
      <c r="A50" s="477"/>
      <c r="B50" s="1"/>
      <c r="C50" s="1"/>
      <c r="D50" s="1"/>
      <c r="E50" s="1"/>
      <c r="F50" s="1"/>
      <c r="G50" s="1"/>
      <c r="H50" s="1"/>
      <c r="I50" s="2"/>
      <c r="J50" s="2"/>
      <c r="K50" s="24"/>
      <c r="L50" s="24"/>
      <c r="M50" s="24"/>
      <c r="N50" s="24"/>
    </row>
    <row r="51" spans="1:14">
      <c r="A51" s="477"/>
      <c r="B51" s="1"/>
      <c r="C51" s="1"/>
      <c r="D51" s="1"/>
      <c r="E51" s="1"/>
      <c r="F51" s="1"/>
      <c r="G51" s="1"/>
      <c r="H51" s="1"/>
      <c r="I51" s="2"/>
      <c r="J51" s="2"/>
      <c r="K51" s="24"/>
      <c r="L51" s="24"/>
      <c r="M51" s="24"/>
      <c r="N51" s="24"/>
    </row>
    <row r="52" spans="1:14">
      <c r="A52" s="29"/>
      <c r="B52" s="30"/>
      <c r="C52" s="30"/>
      <c r="D52" s="30"/>
      <c r="E52" s="30"/>
      <c r="F52" s="30"/>
      <c r="G52" s="30"/>
      <c r="H52" s="30"/>
      <c r="I52" s="24"/>
      <c r="J52" s="24"/>
      <c r="K52" s="24"/>
      <c r="L52" s="24"/>
      <c r="M52" s="24"/>
      <c r="N52" s="24"/>
    </row>
  </sheetData>
  <mergeCells count="9">
    <mergeCell ref="F33:I33"/>
    <mergeCell ref="A1:B1"/>
    <mergeCell ref="C1:G1"/>
    <mergeCell ref="A2:B2"/>
    <mergeCell ref="C2:G2"/>
    <mergeCell ref="A3:I3"/>
    <mergeCell ref="A25:B25"/>
    <mergeCell ref="F27:I27"/>
    <mergeCell ref="F28:I28"/>
  </mergeCells>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14"/>
  <sheetViews>
    <sheetView topLeftCell="A111" zoomScale="115" zoomScaleNormal="115" workbookViewId="0">
      <selection activeCell="D130" sqref="D130"/>
    </sheetView>
  </sheetViews>
  <sheetFormatPr defaultColWidth="9" defaultRowHeight="14"/>
  <cols>
    <col min="1" max="1" width="4.9140625" style="53" customWidth="1"/>
    <col min="2" max="2" width="34.4140625" style="53" customWidth="1"/>
    <col min="3" max="5" width="8.08203125" style="53" customWidth="1"/>
    <col min="6" max="11" width="8.08203125" style="474" customWidth="1"/>
    <col min="12" max="12" width="8.08203125" style="53" customWidth="1"/>
    <col min="13" max="16384" width="9" style="53"/>
  </cols>
  <sheetData>
    <row r="1" spans="1:12">
      <c r="A1" s="1300" t="s">
        <v>0</v>
      </c>
      <c r="B1" s="1300"/>
      <c r="C1" s="91"/>
      <c r="D1" s="91"/>
      <c r="E1" s="91"/>
      <c r="F1" s="470"/>
      <c r="G1" s="470"/>
      <c r="H1" s="470"/>
      <c r="I1" s="470"/>
      <c r="J1" s="470"/>
      <c r="K1" s="1301" t="s">
        <v>1</v>
      </c>
      <c r="L1" s="1301"/>
    </row>
    <row r="2" spans="1:12">
      <c r="A2" s="1302" t="s">
        <v>1363</v>
      </c>
      <c r="B2" s="1302"/>
      <c r="C2" s="91"/>
      <c r="D2" s="91"/>
      <c r="E2" s="91"/>
      <c r="F2" s="470"/>
      <c r="G2" s="470"/>
      <c r="H2" s="470"/>
      <c r="I2" s="470"/>
      <c r="J2" s="470"/>
      <c r="K2" s="471"/>
      <c r="L2" s="96"/>
    </row>
    <row r="3" spans="1:12" ht="26.25" customHeight="1">
      <c r="A3" s="1303" t="s">
        <v>3</v>
      </c>
      <c r="B3" s="1303"/>
      <c r="C3" s="1303"/>
      <c r="D3" s="1303"/>
      <c r="E3" s="1303"/>
      <c r="F3" s="1303"/>
      <c r="G3" s="1303"/>
      <c r="H3" s="1303"/>
      <c r="I3" s="1303"/>
      <c r="J3" s="1303"/>
      <c r="K3" s="1303"/>
      <c r="L3" s="1303"/>
    </row>
    <row r="4" spans="1:12" ht="14.5" thickBot="1">
      <c r="A4" s="101"/>
      <c r="B4" s="101"/>
      <c r="C4" s="101"/>
      <c r="D4" s="101"/>
      <c r="E4" s="101"/>
      <c r="F4" s="472"/>
      <c r="G4" s="472"/>
      <c r="H4" s="472"/>
      <c r="I4" s="472"/>
      <c r="J4" s="472"/>
      <c r="K4" s="472"/>
      <c r="L4" s="102" t="s">
        <v>4</v>
      </c>
    </row>
    <row r="5" spans="1:12" ht="35.25" customHeight="1">
      <c r="A5" s="1028" t="s">
        <v>5</v>
      </c>
      <c r="B5" s="1029" t="s">
        <v>6</v>
      </c>
      <c r="C5" s="1029" t="s">
        <v>7</v>
      </c>
      <c r="D5" s="1029" t="s">
        <v>8</v>
      </c>
      <c r="E5" s="1029" t="s">
        <v>9</v>
      </c>
      <c r="F5" s="1074" t="s">
        <v>10</v>
      </c>
      <c r="G5" s="1074" t="s">
        <v>11</v>
      </c>
      <c r="H5" s="1074" t="s">
        <v>12</v>
      </c>
      <c r="I5" s="1074" t="s">
        <v>13</v>
      </c>
      <c r="J5" s="1074" t="s">
        <v>14</v>
      </c>
      <c r="K5" s="1074" t="s">
        <v>15</v>
      </c>
      <c r="L5" s="1030" t="s">
        <v>16</v>
      </c>
    </row>
    <row r="6" spans="1:12" ht="25.5" customHeight="1">
      <c r="A6" s="1011" t="s">
        <v>17</v>
      </c>
      <c r="B6" s="1031" t="s">
        <v>18</v>
      </c>
      <c r="C6" s="1032"/>
      <c r="D6" s="1032"/>
      <c r="E6" s="1032"/>
      <c r="F6" s="1072"/>
      <c r="G6" s="1072"/>
      <c r="H6" s="1072"/>
      <c r="I6" s="1072"/>
      <c r="J6" s="1072"/>
      <c r="K6" s="1050"/>
      <c r="L6" s="1034"/>
    </row>
    <row r="7" spans="1:12" ht="28.5" customHeight="1">
      <c r="A7" s="1048" t="s">
        <v>19</v>
      </c>
      <c r="B7" s="1066" t="s">
        <v>495</v>
      </c>
      <c r="C7" s="1049"/>
      <c r="D7" s="1033"/>
      <c r="E7" s="1033"/>
      <c r="F7" s="1050"/>
      <c r="G7" s="1050"/>
      <c r="H7" s="1050"/>
      <c r="I7" s="1050"/>
      <c r="J7" s="1050"/>
      <c r="K7" s="1050"/>
      <c r="L7" s="1051"/>
    </row>
    <row r="8" spans="1:12" ht="67.5">
      <c r="A8" s="1040" t="s">
        <v>21</v>
      </c>
      <c r="B8" s="1041" t="s">
        <v>22</v>
      </c>
      <c r="C8" s="1037" t="s">
        <v>23</v>
      </c>
      <c r="D8" s="1038">
        <v>0</v>
      </c>
      <c r="E8" s="1038">
        <v>0</v>
      </c>
      <c r="F8" s="1042">
        <f>SUM(F9:F14)</f>
        <v>1035</v>
      </c>
      <c r="G8" s="1042">
        <v>0</v>
      </c>
      <c r="H8" s="1042">
        <v>0</v>
      </c>
      <c r="I8" s="1042">
        <v>0</v>
      </c>
      <c r="J8" s="1042">
        <f>SUM(J9:J14)</f>
        <v>562</v>
      </c>
      <c r="K8" s="1042">
        <f>F8+J8</f>
        <v>1597</v>
      </c>
      <c r="L8" s="1039"/>
    </row>
    <row r="9" spans="1:12">
      <c r="A9" s="1040"/>
      <c r="B9" s="711" t="s">
        <v>24</v>
      </c>
      <c r="C9" s="1037" t="s">
        <v>23</v>
      </c>
      <c r="D9" s="1038"/>
      <c r="E9" s="1038"/>
      <c r="F9" s="1042">
        <v>375</v>
      </c>
      <c r="G9" s="1042"/>
      <c r="H9" s="1042"/>
      <c r="I9" s="1042"/>
      <c r="J9" s="1042">
        <v>197</v>
      </c>
      <c r="K9" s="1042">
        <v>572</v>
      </c>
      <c r="L9" s="1039"/>
    </row>
    <row r="10" spans="1:12">
      <c r="A10" s="1040"/>
      <c r="B10" s="711" t="s">
        <v>25</v>
      </c>
      <c r="C10" s="1037" t="s">
        <v>23</v>
      </c>
      <c r="D10" s="1038"/>
      <c r="E10" s="1038"/>
      <c r="F10" s="1042"/>
      <c r="G10" s="1042"/>
      <c r="H10" s="1042"/>
      <c r="I10" s="1042"/>
      <c r="J10" s="1042">
        <v>0</v>
      </c>
      <c r="K10" s="1042">
        <v>0</v>
      </c>
      <c r="L10" s="1039"/>
    </row>
    <row r="11" spans="1:12">
      <c r="A11" s="1040"/>
      <c r="B11" s="711" t="s">
        <v>26</v>
      </c>
      <c r="C11" s="1037" t="s">
        <v>23</v>
      </c>
      <c r="D11" s="1038"/>
      <c r="E11" s="1038"/>
      <c r="F11" s="1042">
        <v>186</v>
      </c>
      <c r="G11" s="1042"/>
      <c r="H11" s="1042"/>
      <c r="I11" s="1042"/>
      <c r="J11" s="1042">
        <v>117</v>
      </c>
      <c r="K11" s="1042">
        <v>303</v>
      </c>
      <c r="L11" s="1039"/>
    </row>
    <row r="12" spans="1:12">
      <c r="A12" s="1040"/>
      <c r="B12" s="711" t="s">
        <v>27</v>
      </c>
      <c r="C12" s="1037" t="s">
        <v>23</v>
      </c>
      <c r="D12" s="1038"/>
      <c r="E12" s="1038"/>
      <c r="F12" s="1042">
        <v>132</v>
      </c>
      <c r="G12" s="1042"/>
      <c r="H12" s="1042"/>
      <c r="I12" s="1042"/>
      <c r="J12" s="1042">
        <v>88</v>
      </c>
      <c r="K12" s="1042">
        <v>220</v>
      </c>
      <c r="L12" s="1039"/>
    </row>
    <row r="13" spans="1:12">
      <c r="A13" s="1040"/>
      <c r="B13" s="711" t="s">
        <v>28</v>
      </c>
      <c r="C13" s="1037" t="s">
        <v>23</v>
      </c>
      <c r="D13" s="1038"/>
      <c r="E13" s="1038"/>
      <c r="F13" s="1042">
        <v>133</v>
      </c>
      <c r="G13" s="1042"/>
      <c r="H13" s="1042"/>
      <c r="I13" s="1042"/>
      <c r="J13" s="1042">
        <v>68</v>
      </c>
      <c r="K13" s="1042">
        <v>201</v>
      </c>
      <c r="L13" s="1039"/>
    </row>
    <row r="14" spans="1:12">
      <c r="A14" s="1040"/>
      <c r="B14" s="711" t="s">
        <v>29</v>
      </c>
      <c r="C14" s="1037" t="s">
        <v>23</v>
      </c>
      <c r="D14" s="1038"/>
      <c r="E14" s="1038"/>
      <c r="F14" s="1042">
        <v>209</v>
      </c>
      <c r="G14" s="1042"/>
      <c r="H14" s="1042"/>
      <c r="I14" s="1042"/>
      <c r="J14" s="1042">
        <v>92</v>
      </c>
      <c r="K14" s="1042">
        <v>301</v>
      </c>
      <c r="L14" s="1039"/>
    </row>
    <row r="15" spans="1:12" ht="54">
      <c r="A15" s="1043" t="s">
        <v>30</v>
      </c>
      <c r="B15" s="1041" t="s">
        <v>31</v>
      </c>
      <c r="C15" s="1037"/>
      <c r="D15" s="1038">
        <v>0</v>
      </c>
      <c r="E15" s="1038">
        <v>0</v>
      </c>
      <c r="F15" s="1042">
        <f>SUM(F16:F21)</f>
        <v>393</v>
      </c>
      <c r="G15" s="1042">
        <v>0</v>
      </c>
      <c r="H15" s="1042">
        <v>0</v>
      </c>
      <c r="I15" s="1042">
        <v>0</v>
      </c>
      <c r="J15" s="1042">
        <f>SUM(J16:J21)</f>
        <v>177</v>
      </c>
      <c r="K15" s="1042">
        <f>F15+J15</f>
        <v>570</v>
      </c>
      <c r="L15" s="1039"/>
    </row>
    <row r="16" spans="1:12">
      <c r="A16" s="1040"/>
      <c r="B16" s="711" t="s">
        <v>24</v>
      </c>
      <c r="C16" s="1037" t="s">
        <v>23</v>
      </c>
      <c r="D16" s="1038"/>
      <c r="E16" s="1038"/>
      <c r="F16" s="1042">
        <v>197</v>
      </c>
      <c r="G16" s="1042"/>
      <c r="H16" s="1042"/>
      <c r="I16" s="1042"/>
      <c r="J16" s="1042">
        <v>156</v>
      </c>
      <c r="K16" s="1042">
        <v>353</v>
      </c>
      <c r="L16" s="1039"/>
    </row>
    <row r="17" spans="1:12">
      <c r="A17" s="1040"/>
      <c r="B17" s="711" t="s">
        <v>25</v>
      </c>
      <c r="C17" s="1037" t="s">
        <v>23</v>
      </c>
      <c r="D17" s="1038"/>
      <c r="E17" s="1038"/>
      <c r="F17" s="1042"/>
      <c r="G17" s="1042"/>
      <c r="H17" s="1042"/>
      <c r="I17" s="1042"/>
      <c r="J17" s="1042">
        <v>0</v>
      </c>
      <c r="K17" s="1042">
        <v>0</v>
      </c>
      <c r="L17" s="1039"/>
    </row>
    <row r="18" spans="1:12">
      <c r="A18" s="1040"/>
      <c r="B18" s="711" t="s">
        <v>26</v>
      </c>
      <c r="C18" s="1037" t="s">
        <v>23</v>
      </c>
      <c r="D18" s="1038"/>
      <c r="E18" s="1038"/>
      <c r="F18" s="1042">
        <v>166</v>
      </c>
      <c r="G18" s="1042"/>
      <c r="H18" s="1042"/>
      <c r="I18" s="1042"/>
      <c r="J18" s="1042">
        <v>5</v>
      </c>
      <c r="K18" s="1042">
        <v>171</v>
      </c>
      <c r="L18" s="1039"/>
    </row>
    <row r="19" spans="1:12">
      <c r="A19" s="1040"/>
      <c r="B19" s="711" t="s">
        <v>27</v>
      </c>
      <c r="C19" s="1037" t="s">
        <v>23</v>
      </c>
      <c r="D19" s="1038"/>
      <c r="E19" s="1038"/>
      <c r="F19" s="1042">
        <v>5</v>
      </c>
      <c r="G19" s="1042"/>
      <c r="H19" s="1042"/>
      <c r="I19" s="1042"/>
      <c r="J19" s="1042">
        <v>7</v>
      </c>
      <c r="K19" s="1042">
        <v>12</v>
      </c>
      <c r="L19" s="1039"/>
    </row>
    <row r="20" spans="1:12">
      <c r="A20" s="1040"/>
      <c r="B20" s="711" t="s">
        <v>28</v>
      </c>
      <c r="C20" s="1037" t="s">
        <v>23</v>
      </c>
      <c r="D20" s="1038"/>
      <c r="E20" s="1038"/>
      <c r="F20" s="1042">
        <v>10</v>
      </c>
      <c r="G20" s="1042"/>
      <c r="H20" s="1042"/>
      <c r="I20" s="1042"/>
      <c r="J20" s="1042">
        <v>5</v>
      </c>
      <c r="K20" s="1042">
        <v>15</v>
      </c>
      <c r="L20" s="1039"/>
    </row>
    <row r="21" spans="1:12">
      <c r="A21" s="1040"/>
      <c r="B21" s="711" t="s">
        <v>29</v>
      </c>
      <c r="C21" s="1037" t="s">
        <v>23</v>
      </c>
      <c r="D21" s="1038"/>
      <c r="E21" s="1038"/>
      <c r="F21" s="1042">
        <v>15</v>
      </c>
      <c r="G21" s="1042"/>
      <c r="H21" s="1042"/>
      <c r="I21" s="1042"/>
      <c r="J21" s="1042">
        <v>4</v>
      </c>
      <c r="K21" s="1042">
        <v>19</v>
      </c>
      <c r="L21" s="1039"/>
    </row>
    <row r="22" spans="1:12" ht="53.15" customHeight="1">
      <c r="A22" s="1043" t="s">
        <v>32</v>
      </c>
      <c r="B22" s="1044" t="s">
        <v>631</v>
      </c>
      <c r="C22" s="1037" t="s">
        <v>23</v>
      </c>
      <c r="D22" s="1038"/>
      <c r="E22" s="1038"/>
      <c r="F22" s="1042"/>
      <c r="G22" s="1042"/>
      <c r="H22" s="1042"/>
      <c r="I22" s="1042"/>
      <c r="J22" s="1042"/>
      <c r="K22" s="1042">
        <v>0</v>
      </c>
      <c r="L22" s="1039"/>
    </row>
    <row r="23" spans="1:12" ht="61.5" customHeight="1">
      <c r="A23" s="1043"/>
      <c r="B23" s="711" t="s">
        <v>255</v>
      </c>
      <c r="C23" s="1037"/>
      <c r="D23" s="1038"/>
      <c r="E23" s="1038"/>
      <c r="F23" s="1042">
        <v>210</v>
      </c>
      <c r="G23" s="1042"/>
      <c r="H23" s="1042"/>
      <c r="I23" s="1042"/>
      <c r="J23" s="1042">
        <v>100</v>
      </c>
      <c r="K23" s="1042">
        <f>F23+J23</f>
        <v>310</v>
      </c>
      <c r="L23" s="1039"/>
    </row>
    <row r="24" spans="1:12" ht="67.5">
      <c r="A24" s="1251" t="s">
        <v>35</v>
      </c>
      <c r="B24" s="1252" t="s">
        <v>36</v>
      </c>
      <c r="C24" s="1253" t="s">
        <v>23</v>
      </c>
      <c r="D24" s="1254">
        <v>0</v>
      </c>
      <c r="E24" s="1254">
        <v>0</v>
      </c>
      <c r="F24" s="1255">
        <f>SUM(F25:F31)</f>
        <v>1000</v>
      </c>
      <c r="G24" s="1255">
        <v>0</v>
      </c>
      <c r="H24" s="1255">
        <v>0</v>
      </c>
      <c r="I24" s="1255">
        <v>0</v>
      </c>
      <c r="J24" s="1255">
        <f>SUM(J25:J31)</f>
        <v>1437</v>
      </c>
      <c r="K24" s="1255">
        <f>F24+J24</f>
        <v>2437</v>
      </c>
      <c r="L24" s="1256"/>
    </row>
    <row r="25" spans="1:12">
      <c r="A25" s="1040"/>
      <c r="B25" s="711" t="s">
        <v>24</v>
      </c>
      <c r="C25" s="1037" t="s">
        <v>23</v>
      </c>
      <c r="D25" s="1038">
        <v>0</v>
      </c>
      <c r="E25" s="1038">
        <v>0</v>
      </c>
      <c r="F25" s="1042">
        <v>178</v>
      </c>
      <c r="G25" s="1042">
        <v>0</v>
      </c>
      <c r="H25" s="1042">
        <v>0</v>
      </c>
      <c r="I25" s="1042">
        <v>0</v>
      </c>
      <c r="J25" s="1042">
        <v>41</v>
      </c>
      <c r="K25" s="1042">
        <v>219</v>
      </c>
      <c r="L25" s="1039"/>
    </row>
    <row r="26" spans="1:12">
      <c r="A26" s="1040"/>
      <c r="B26" s="711" t="s">
        <v>25</v>
      </c>
      <c r="C26" s="1037" t="s">
        <v>23</v>
      </c>
      <c r="D26" s="1038">
        <v>0</v>
      </c>
      <c r="E26" s="1038">
        <v>0</v>
      </c>
      <c r="F26" s="1042">
        <v>0</v>
      </c>
      <c r="G26" s="1042">
        <v>0</v>
      </c>
      <c r="H26" s="1042">
        <v>0</v>
      </c>
      <c r="I26" s="1042">
        <v>0</v>
      </c>
      <c r="J26" s="1042">
        <v>0</v>
      </c>
      <c r="K26" s="1042">
        <v>0</v>
      </c>
      <c r="L26" s="1039"/>
    </row>
    <row r="27" spans="1:12">
      <c r="A27" s="1040"/>
      <c r="B27" s="711" t="s">
        <v>37</v>
      </c>
      <c r="C27" s="1037" t="s">
        <v>23</v>
      </c>
      <c r="D27" s="1038">
        <v>0</v>
      </c>
      <c r="E27" s="1038">
        <v>0</v>
      </c>
      <c r="F27" s="1042">
        <v>20</v>
      </c>
      <c r="G27" s="1042">
        <v>0</v>
      </c>
      <c r="H27" s="1042">
        <v>0</v>
      </c>
      <c r="I27" s="1042">
        <v>0</v>
      </c>
      <c r="J27" s="1042">
        <v>112</v>
      </c>
      <c r="K27" s="1042">
        <v>132</v>
      </c>
      <c r="L27" s="1039"/>
    </row>
    <row r="28" spans="1:12">
      <c r="A28" s="1040"/>
      <c r="B28" s="711" t="s">
        <v>38</v>
      </c>
      <c r="C28" s="1037" t="s">
        <v>23</v>
      </c>
      <c r="D28" s="1038">
        <v>0</v>
      </c>
      <c r="E28" s="1038">
        <v>0</v>
      </c>
      <c r="F28" s="1042">
        <v>127</v>
      </c>
      <c r="G28" s="1042">
        <v>0</v>
      </c>
      <c r="H28" s="1042">
        <v>0</v>
      </c>
      <c r="I28" s="1042">
        <v>0</v>
      </c>
      <c r="J28" s="1042">
        <v>81</v>
      </c>
      <c r="K28" s="1042">
        <v>208</v>
      </c>
      <c r="L28" s="1039"/>
    </row>
    <row r="29" spans="1:12">
      <c r="A29" s="1040"/>
      <c r="B29" s="711" t="s">
        <v>39</v>
      </c>
      <c r="C29" s="1037" t="s">
        <v>23</v>
      </c>
      <c r="D29" s="1038">
        <v>0</v>
      </c>
      <c r="E29" s="1038">
        <v>0</v>
      </c>
      <c r="F29" s="1042">
        <v>123</v>
      </c>
      <c r="G29" s="1042">
        <v>0</v>
      </c>
      <c r="H29" s="1042">
        <v>0</v>
      </c>
      <c r="I29" s="1042">
        <v>0</v>
      </c>
      <c r="J29" s="1042">
        <v>63</v>
      </c>
      <c r="K29" s="1042">
        <v>186</v>
      </c>
      <c r="L29" s="1039"/>
    </row>
    <row r="30" spans="1:12">
      <c r="A30" s="1040"/>
      <c r="B30" s="711" t="s">
        <v>40</v>
      </c>
      <c r="C30" s="1037" t="s">
        <v>23</v>
      </c>
      <c r="D30" s="1038">
        <f>'Bieu 1a DH Chinh quy'!F817</f>
        <v>0</v>
      </c>
      <c r="E30" s="1038">
        <v>0</v>
      </c>
      <c r="F30" s="1042">
        <v>276</v>
      </c>
      <c r="G30" s="1042">
        <v>0</v>
      </c>
      <c r="H30" s="1042">
        <v>0</v>
      </c>
      <c r="I30" s="1042">
        <v>0</v>
      </c>
      <c r="J30" s="1042">
        <v>570</v>
      </c>
      <c r="K30" s="1042">
        <v>846</v>
      </c>
      <c r="L30" s="1039"/>
    </row>
    <row r="31" spans="1:12" ht="15.75" customHeight="1">
      <c r="A31" s="1043"/>
      <c r="B31" s="711" t="s">
        <v>34</v>
      </c>
      <c r="C31" s="1037" t="s">
        <v>23</v>
      </c>
      <c r="D31" s="1038">
        <v>0</v>
      </c>
      <c r="E31" s="1038">
        <v>0</v>
      </c>
      <c r="F31" s="1042">
        <v>276</v>
      </c>
      <c r="G31" s="1042">
        <v>0</v>
      </c>
      <c r="H31" s="1042">
        <v>0</v>
      </c>
      <c r="I31" s="1042">
        <v>0</v>
      </c>
      <c r="J31" s="1042">
        <v>570</v>
      </c>
      <c r="K31" s="1042">
        <v>846</v>
      </c>
      <c r="L31" s="1039"/>
    </row>
    <row r="32" spans="1:12" ht="28.5" customHeight="1">
      <c r="A32" s="1048" t="s">
        <v>41</v>
      </c>
      <c r="B32" s="1066" t="s">
        <v>496</v>
      </c>
      <c r="C32" s="1049"/>
      <c r="D32" s="1033"/>
      <c r="E32" s="1033"/>
      <c r="F32" s="1050"/>
      <c r="G32" s="1050"/>
      <c r="H32" s="1050"/>
      <c r="I32" s="1050"/>
      <c r="J32" s="1050"/>
      <c r="K32" s="1050"/>
      <c r="L32" s="1051"/>
    </row>
    <row r="33" spans="1:12" ht="74.25" customHeight="1">
      <c r="A33" s="1040" t="s">
        <v>21</v>
      </c>
      <c r="B33" s="1041" t="s">
        <v>22</v>
      </c>
      <c r="C33" s="1037" t="s">
        <v>23</v>
      </c>
      <c r="D33" s="1038">
        <v>0</v>
      </c>
      <c r="E33" s="1038">
        <v>0</v>
      </c>
      <c r="F33" s="1042">
        <v>2</v>
      </c>
      <c r="G33" s="1042">
        <v>0</v>
      </c>
      <c r="H33" s="1042">
        <v>0</v>
      </c>
      <c r="I33" s="1042">
        <v>0</v>
      </c>
      <c r="J33" s="1042">
        <v>3</v>
      </c>
      <c r="K33" s="1042">
        <v>5</v>
      </c>
      <c r="L33" s="1039"/>
    </row>
    <row r="34" spans="1:12">
      <c r="A34" s="1040"/>
      <c r="B34" s="711" t="s">
        <v>500</v>
      </c>
      <c r="C34" s="1037" t="s">
        <v>23</v>
      </c>
      <c r="D34" s="1038"/>
      <c r="E34" s="1038"/>
      <c r="F34" s="1042">
        <v>0</v>
      </c>
      <c r="G34" s="1042"/>
      <c r="H34" s="1042"/>
      <c r="I34" s="1042"/>
      <c r="J34" s="1042">
        <v>2</v>
      </c>
      <c r="K34" s="1042">
        <v>2</v>
      </c>
      <c r="L34" s="1039"/>
    </row>
    <row r="35" spans="1:12" ht="19.5" customHeight="1">
      <c r="A35" s="1040"/>
      <c r="B35" s="711" t="s">
        <v>499</v>
      </c>
      <c r="C35" s="1037" t="s">
        <v>23</v>
      </c>
      <c r="D35" s="1038"/>
      <c r="E35" s="1038"/>
      <c r="F35" s="1042">
        <v>2</v>
      </c>
      <c r="G35" s="1042"/>
      <c r="H35" s="1042"/>
      <c r="I35" s="1042"/>
      <c r="J35" s="1042">
        <v>1</v>
      </c>
      <c r="K35" s="1042">
        <v>3</v>
      </c>
      <c r="L35" s="1039"/>
    </row>
    <row r="36" spans="1:12" ht="17.25" customHeight="1">
      <c r="A36" s="1040"/>
      <c r="B36" s="711" t="s">
        <v>498</v>
      </c>
      <c r="C36" s="1037" t="s">
        <v>23</v>
      </c>
      <c r="D36" s="1038"/>
      <c r="E36" s="1038"/>
      <c r="F36" s="1042">
        <v>0</v>
      </c>
      <c r="G36" s="1042"/>
      <c r="H36" s="1042"/>
      <c r="I36" s="1042"/>
      <c r="J36" s="1042">
        <v>0</v>
      </c>
      <c r="K36" s="1042">
        <v>0</v>
      </c>
      <c r="L36" s="1039"/>
    </row>
    <row r="37" spans="1:12" ht="22.5" customHeight="1">
      <c r="A37" s="1040"/>
      <c r="B37" s="711" t="s">
        <v>497</v>
      </c>
      <c r="C37" s="1037" t="s">
        <v>23</v>
      </c>
      <c r="D37" s="1038"/>
      <c r="E37" s="1038"/>
      <c r="F37" s="1042">
        <v>0</v>
      </c>
      <c r="G37" s="1042"/>
      <c r="H37" s="1042"/>
      <c r="I37" s="1042"/>
      <c r="J37" s="1042">
        <v>0</v>
      </c>
      <c r="K37" s="1042">
        <v>0</v>
      </c>
      <c r="L37" s="1039"/>
    </row>
    <row r="38" spans="1:12" ht="57" customHeight="1">
      <c r="A38" s="1043" t="s">
        <v>30</v>
      </c>
      <c r="B38" s="1041" t="s">
        <v>31</v>
      </c>
      <c r="C38" s="1037"/>
      <c r="D38" s="1038">
        <v>0</v>
      </c>
      <c r="E38" s="1038">
        <v>0</v>
      </c>
      <c r="F38" s="1042">
        <v>2</v>
      </c>
      <c r="G38" s="1042">
        <v>0</v>
      </c>
      <c r="H38" s="1042">
        <v>0</v>
      </c>
      <c r="I38" s="1042">
        <v>0</v>
      </c>
      <c r="J38" s="1042">
        <v>3</v>
      </c>
      <c r="K38" s="1042">
        <v>5</v>
      </c>
      <c r="L38" s="1039"/>
    </row>
    <row r="39" spans="1:12">
      <c r="A39" s="1040"/>
      <c r="B39" s="711" t="s">
        <v>500</v>
      </c>
      <c r="C39" s="1037" t="s">
        <v>23</v>
      </c>
      <c r="D39" s="1038"/>
      <c r="E39" s="1038"/>
      <c r="F39" s="1042">
        <v>0</v>
      </c>
      <c r="G39" s="1042"/>
      <c r="H39" s="1042"/>
      <c r="I39" s="1042"/>
      <c r="J39" s="1042">
        <v>2</v>
      </c>
      <c r="K39" s="1042">
        <v>2</v>
      </c>
      <c r="L39" s="1039"/>
    </row>
    <row r="40" spans="1:12">
      <c r="A40" s="1040"/>
      <c r="B40" s="711" t="s">
        <v>499</v>
      </c>
      <c r="C40" s="1037" t="s">
        <v>23</v>
      </c>
      <c r="D40" s="1038"/>
      <c r="E40" s="1038"/>
      <c r="F40" s="1042">
        <v>2</v>
      </c>
      <c r="G40" s="1042"/>
      <c r="H40" s="1042"/>
      <c r="I40" s="1042"/>
      <c r="J40" s="1042">
        <v>1</v>
      </c>
      <c r="K40" s="1042">
        <v>3</v>
      </c>
      <c r="L40" s="1039"/>
    </row>
    <row r="41" spans="1:12">
      <c r="A41" s="1040"/>
      <c r="B41" s="711" t="s">
        <v>498</v>
      </c>
      <c r="C41" s="1037" t="s">
        <v>23</v>
      </c>
      <c r="D41" s="1038"/>
      <c r="E41" s="1038"/>
      <c r="F41" s="1042">
        <v>0</v>
      </c>
      <c r="G41" s="1042"/>
      <c r="H41" s="1042"/>
      <c r="I41" s="1042"/>
      <c r="J41" s="1042">
        <v>0</v>
      </c>
      <c r="K41" s="1042">
        <v>0</v>
      </c>
      <c r="L41" s="1039"/>
    </row>
    <row r="42" spans="1:12">
      <c r="A42" s="1040"/>
      <c r="B42" s="711" t="s">
        <v>497</v>
      </c>
      <c r="C42" s="1037" t="s">
        <v>23</v>
      </c>
      <c r="D42" s="1038"/>
      <c r="E42" s="1038"/>
      <c r="F42" s="1042">
        <v>0</v>
      </c>
      <c r="G42" s="1042"/>
      <c r="H42" s="1042"/>
      <c r="I42" s="1042"/>
      <c r="J42" s="1042">
        <v>0</v>
      </c>
      <c r="K42" s="1042">
        <v>0</v>
      </c>
      <c r="L42" s="1039"/>
    </row>
    <row r="43" spans="1:12" ht="40.5">
      <c r="A43" s="1043" t="s">
        <v>32</v>
      </c>
      <c r="B43" s="1044" t="s">
        <v>33</v>
      </c>
      <c r="C43" s="1037" t="s">
        <v>23</v>
      </c>
      <c r="D43" s="1038"/>
      <c r="E43" s="1038"/>
      <c r="F43" s="1042">
        <v>0</v>
      </c>
      <c r="G43" s="1042"/>
      <c r="H43" s="1042"/>
      <c r="I43" s="1042"/>
      <c r="J43" s="1042">
        <v>0</v>
      </c>
      <c r="K43" s="1042">
        <v>0</v>
      </c>
      <c r="L43" s="1039"/>
    </row>
    <row r="44" spans="1:12">
      <c r="A44" s="1043"/>
      <c r="B44" s="711" t="s">
        <v>501</v>
      </c>
      <c r="C44" s="1037"/>
      <c r="D44" s="1038"/>
      <c r="E44" s="1038"/>
      <c r="F44" s="1042">
        <v>0</v>
      </c>
      <c r="G44" s="1042"/>
      <c r="H44" s="1042"/>
      <c r="I44" s="1042"/>
      <c r="J44" s="1042">
        <v>0</v>
      </c>
      <c r="K44" s="1042">
        <v>0</v>
      </c>
      <c r="L44" s="1039"/>
    </row>
    <row r="45" spans="1:12" ht="67.5">
      <c r="A45" s="1043" t="s">
        <v>35</v>
      </c>
      <c r="B45" s="1041" t="s">
        <v>36</v>
      </c>
      <c r="C45" s="1045" t="s">
        <v>23</v>
      </c>
      <c r="D45" s="1073">
        <v>0</v>
      </c>
      <c r="E45" s="1073">
        <v>0</v>
      </c>
      <c r="F45" s="1046">
        <v>0</v>
      </c>
      <c r="G45" s="1046">
        <v>0</v>
      </c>
      <c r="H45" s="1046">
        <v>0</v>
      </c>
      <c r="I45" s="1046">
        <v>0</v>
      </c>
      <c r="J45" s="1046">
        <v>2</v>
      </c>
      <c r="K45" s="1046">
        <v>2</v>
      </c>
      <c r="L45" s="1047"/>
    </row>
    <row r="46" spans="1:12">
      <c r="A46" s="1040"/>
      <c r="B46" s="711" t="s">
        <v>502</v>
      </c>
      <c r="C46" s="1037" t="s">
        <v>23</v>
      </c>
      <c r="D46" s="1038">
        <v>0</v>
      </c>
      <c r="E46" s="1038">
        <v>0</v>
      </c>
      <c r="F46" s="1042">
        <v>0</v>
      </c>
      <c r="G46" s="1042">
        <v>0</v>
      </c>
      <c r="H46" s="1042">
        <v>0</v>
      </c>
      <c r="I46" s="1042">
        <v>0</v>
      </c>
      <c r="J46" s="1042">
        <v>0</v>
      </c>
      <c r="K46" s="1042">
        <v>0</v>
      </c>
      <c r="L46" s="1039"/>
    </row>
    <row r="47" spans="1:12">
      <c r="A47" s="1040"/>
      <c r="B47" s="711" t="s">
        <v>37</v>
      </c>
      <c r="C47" s="1037" t="s">
        <v>23</v>
      </c>
      <c r="D47" s="1038">
        <v>0</v>
      </c>
      <c r="E47" s="1038">
        <v>0</v>
      </c>
      <c r="F47" s="1042">
        <v>0</v>
      </c>
      <c r="G47" s="1042">
        <v>0</v>
      </c>
      <c r="H47" s="1042">
        <v>0</v>
      </c>
      <c r="I47" s="1042">
        <v>0</v>
      </c>
      <c r="J47" s="1042">
        <v>1</v>
      </c>
      <c r="K47" s="1042">
        <v>1</v>
      </c>
      <c r="L47" s="1039"/>
    </row>
    <row r="48" spans="1:12">
      <c r="A48" s="1040"/>
      <c r="B48" s="711" t="s">
        <v>38</v>
      </c>
      <c r="C48" s="1037" t="s">
        <v>23</v>
      </c>
      <c r="D48" s="1038">
        <v>0</v>
      </c>
      <c r="E48" s="1038">
        <v>0</v>
      </c>
      <c r="F48" s="1042">
        <v>0</v>
      </c>
      <c r="G48" s="1042">
        <v>0</v>
      </c>
      <c r="H48" s="1042">
        <v>0</v>
      </c>
      <c r="I48" s="1042">
        <v>0</v>
      </c>
      <c r="J48" s="1042">
        <v>1</v>
      </c>
      <c r="K48" s="1042">
        <v>1</v>
      </c>
      <c r="L48" s="1039"/>
    </row>
    <row r="49" spans="1:12">
      <c r="A49" s="1040"/>
      <c r="B49" s="711" t="s">
        <v>39</v>
      </c>
      <c r="C49" s="1037" t="s">
        <v>23</v>
      </c>
      <c r="D49" s="1038">
        <v>0</v>
      </c>
      <c r="E49" s="1038">
        <v>0</v>
      </c>
      <c r="F49" s="1042">
        <v>0</v>
      </c>
      <c r="G49" s="1042">
        <v>0</v>
      </c>
      <c r="H49" s="1042">
        <v>0</v>
      </c>
      <c r="I49" s="1042">
        <v>0</v>
      </c>
      <c r="J49" s="1042">
        <v>0</v>
      </c>
      <c r="K49" s="1042">
        <v>0</v>
      </c>
      <c r="L49" s="1039"/>
    </row>
    <row r="50" spans="1:12" ht="28.5" customHeight="1">
      <c r="A50" s="1048" t="s">
        <v>113</v>
      </c>
      <c r="B50" s="1066" t="s">
        <v>503</v>
      </c>
      <c r="C50" s="1049"/>
      <c r="D50" s="1033"/>
      <c r="E50" s="1033"/>
      <c r="F50" s="1050"/>
      <c r="G50" s="1050"/>
      <c r="H50" s="1050"/>
      <c r="I50" s="1050"/>
      <c r="J50" s="1050"/>
      <c r="K50" s="1050"/>
      <c r="L50" s="1051"/>
    </row>
    <row r="51" spans="1:12" ht="67.5">
      <c r="A51" s="1040" t="s">
        <v>21</v>
      </c>
      <c r="B51" s="1041" t="s">
        <v>22</v>
      </c>
      <c r="C51" s="1037" t="s">
        <v>23</v>
      </c>
      <c r="D51" s="1038">
        <v>0</v>
      </c>
      <c r="E51" s="1038">
        <v>0</v>
      </c>
      <c r="F51" s="1042">
        <v>105</v>
      </c>
      <c r="G51" s="1042">
        <v>0</v>
      </c>
      <c r="H51" s="1042">
        <v>0</v>
      </c>
      <c r="I51" s="1042">
        <v>0</v>
      </c>
      <c r="J51" s="1042">
        <v>0</v>
      </c>
      <c r="K51" s="1042">
        <v>105</v>
      </c>
      <c r="L51" s="1039"/>
    </row>
    <row r="52" spans="1:12">
      <c r="A52" s="1040"/>
      <c r="B52" s="711" t="s">
        <v>504</v>
      </c>
      <c r="C52" s="1037" t="s">
        <v>23</v>
      </c>
      <c r="D52" s="1038"/>
      <c r="E52" s="1038"/>
      <c r="F52" s="1042">
        <v>0</v>
      </c>
      <c r="G52" s="1042"/>
      <c r="H52" s="1042"/>
      <c r="I52" s="1042"/>
      <c r="J52" s="1042">
        <v>0</v>
      </c>
      <c r="K52" s="1042">
        <v>0</v>
      </c>
      <c r="L52" s="1039"/>
    </row>
    <row r="53" spans="1:12">
      <c r="A53" s="1040"/>
      <c r="B53" s="711" t="s">
        <v>27</v>
      </c>
      <c r="C53" s="1037" t="s">
        <v>23</v>
      </c>
      <c r="D53" s="1038"/>
      <c r="E53" s="1038"/>
      <c r="F53" s="1042">
        <v>28</v>
      </c>
      <c r="G53" s="1042"/>
      <c r="H53" s="1042"/>
      <c r="I53" s="1042"/>
      <c r="J53" s="1042">
        <v>0</v>
      </c>
      <c r="K53" s="1042">
        <v>28</v>
      </c>
      <c r="L53" s="1039"/>
    </row>
    <row r="54" spans="1:12">
      <c r="A54" s="1040"/>
      <c r="B54" s="711" t="s">
        <v>28</v>
      </c>
      <c r="C54" s="1037" t="s">
        <v>23</v>
      </c>
      <c r="D54" s="1038"/>
      <c r="E54" s="1038"/>
      <c r="F54" s="1042">
        <v>37</v>
      </c>
      <c r="G54" s="1042"/>
      <c r="H54" s="1042"/>
      <c r="I54" s="1042"/>
      <c r="J54" s="1042">
        <v>0</v>
      </c>
      <c r="K54" s="1042">
        <v>37</v>
      </c>
      <c r="L54" s="1039"/>
    </row>
    <row r="55" spans="1:12">
      <c r="A55" s="1040"/>
      <c r="B55" s="711" t="s">
        <v>29</v>
      </c>
      <c r="C55" s="1037" t="s">
        <v>23</v>
      </c>
      <c r="D55" s="1038"/>
      <c r="E55" s="1038"/>
      <c r="F55" s="1042">
        <v>40</v>
      </c>
      <c r="G55" s="1042"/>
      <c r="H55" s="1042"/>
      <c r="I55" s="1042"/>
      <c r="J55" s="1042">
        <v>0</v>
      </c>
      <c r="K55" s="1042">
        <v>40</v>
      </c>
      <c r="L55" s="1039"/>
    </row>
    <row r="56" spans="1:12" ht="54">
      <c r="A56" s="1043" t="s">
        <v>30</v>
      </c>
      <c r="B56" s="1041" t="s">
        <v>31</v>
      </c>
      <c r="C56" s="1037"/>
      <c r="D56" s="1038">
        <v>0</v>
      </c>
      <c r="E56" s="1038">
        <v>0</v>
      </c>
      <c r="F56" s="1042">
        <f>SUM(F57:F60)</f>
        <v>65</v>
      </c>
      <c r="G56" s="1042">
        <v>0</v>
      </c>
      <c r="H56" s="1042">
        <v>0</v>
      </c>
      <c r="I56" s="1042">
        <v>0</v>
      </c>
      <c r="J56" s="1042">
        <v>0</v>
      </c>
      <c r="K56" s="1042">
        <f>F56</f>
        <v>65</v>
      </c>
      <c r="L56" s="1039"/>
    </row>
    <row r="57" spans="1:12">
      <c r="A57" s="1040"/>
      <c r="B57" s="711" t="s">
        <v>504</v>
      </c>
      <c r="C57" s="1037" t="s">
        <v>23</v>
      </c>
      <c r="D57" s="1038"/>
      <c r="E57" s="1038"/>
      <c r="F57" s="1042">
        <v>0</v>
      </c>
      <c r="G57" s="1042"/>
      <c r="H57" s="1042"/>
      <c r="I57" s="1042"/>
      <c r="J57" s="1042">
        <v>0</v>
      </c>
      <c r="K57" s="1042">
        <v>0</v>
      </c>
      <c r="L57" s="1039"/>
    </row>
    <row r="58" spans="1:12">
      <c r="A58" s="1040"/>
      <c r="B58" s="711" t="s">
        <v>27</v>
      </c>
      <c r="C58" s="1037" t="s">
        <v>23</v>
      </c>
      <c r="D58" s="1038"/>
      <c r="E58" s="1038"/>
      <c r="F58" s="1042">
        <v>28</v>
      </c>
      <c r="G58" s="1042"/>
      <c r="H58" s="1042"/>
      <c r="I58" s="1042"/>
      <c r="J58" s="1042">
        <v>0</v>
      </c>
      <c r="K58" s="1042">
        <v>28</v>
      </c>
      <c r="L58" s="1039"/>
    </row>
    <row r="59" spans="1:12">
      <c r="A59" s="1040"/>
      <c r="B59" s="711" t="s">
        <v>28</v>
      </c>
      <c r="C59" s="1037" t="s">
        <v>23</v>
      </c>
      <c r="D59" s="1038"/>
      <c r="E59" s="1038"/>
      <c r="F59" s="1042">
        <v>37</v>
      </c>
      <c r="G59" s="1042"/>
      <c r="H59" s="1042"/>
      <c r="I59" s="1042"/>
      <c r="J59" s="1042">
        <v>0</v>
      </c>
      <c r="K59" s="1042">
        <v>37</v>
      </c>
      <c r="L59" s="1039"/>
    </row>
    <row r="60" spans="1:12">
      <c r="A60" s="1040"/>
      <c r="B60" s="711" t="s">
        <v>29</v>
      </c>
      <c r="C60" s="1037" t="s">
        <v>23</v>
      </c>
      <c r="D60" s="1038"/>
      <c r="E60" s="1038"/>
      <c r="F60" s="1042">
        <v>0</v>
      </c>
      <c r="G60" s="1042"/>
      <c r="H60" s="1042"/>
      <c r="I60" s="1042"/>
      <c r="J60" s="1042">
        <v>0</v>
      </c>
      <c r="K60" s="1042">
        <v>0</v>
      </c>
      <c r="L60" s="1039"/>
    </row>
    <row r="61" spans="1:12" ht="40.5">
      <c r="A61" s="1043" t="s">
        <v>32</v>
      </c>
      <c r="B61" s="1044" t="s">
        <v>33</v>
      </c>
      <c r="C61" s="1037" t="s">
        <v>23</v>
      </c>
      <c r="D61" s="1038"/>
      <c r="E61" s="1038"/>
      <c r="F61" s="1042">
        <f>F62</f>
        <v>40</v>
      </c>
      <c r="G61" s="1042"/>
      <c r="H61" s="1042"/>
      <c r="I61" s="1042"/>
      <c r="J61" s="1042">
        <v>0</v>
      </c>
      <c r="K61" s="1042">
        <f>K62</f>
        <v>40</v>
      </c>
      <c r="L61" s="1039"/>
    </row>
    <row r="62" spans="1:12" ht="45" customHeight="1">
      <c r="A62" s="1043"/>
      <c r="B62" s="711" t="s">
        <v>255</v>
      </c>
      <c r="C62" s="1037"/>
      <c r="D62" s="1038"/>
      <c r="E62" s="1038"/>
      <c r="F62" s="1042">
        <v>40</v>
      </c>
      <c r="G62" s="1042"/>
      <c r="H62" s="1042"/>
      <c r="I62" s="1042"/>
      <c r="J62" s="1042">
        <v>0</v>
      </c>
      <c r="K62" s="1042">
        <v>40</v>
      </c>
      <c r="L62" s="1039"/>
    </row>
    <row r="63" spans="1:12" ht="67.5">
      <c r="A63" s="1043" t="s">
        <v>35</v>
      </c>
      <c r="B63" s="1041" t="s">
        <v>36</v>
      </c>
      <c r="C63" s="1045" t="s">
        <v>23</v>
      </c>
      <c r="D63" s="1073">
        <v>0</v>
      </c>
      <c r="E63" s="1073">
        <v>0</v>
      </c>
      <c r="F63" s="1046">
        <v>80</v>
      </c>
      <c r="G63" s="1046">
        <v>0</v>
      </c>
      <c r="H63" s="1046">
        <v>0</v>
      </c>
      <c r="I63" s="1046">
        <v>0</v>
      </c>
      <c r="J63" s="1046">
        <v>0</v>
      </c>
      <c r="K63" s="1046">
        <v>80</v>
      </c>
      <c r="L63" s="1047"/>
    </row>
    <row r="64" spans="1:12">
      <c r="A64" s="1040"/>
      <c r="B64" s="711" t="s">
        <v>505</v>
      </c>
      <c r="C64" s="1037" t="s">
        <v>23</v>
      </c>
      <c r="D64" s="1038"/>
      <c r="E64" s="1038"/>
      <c r="F64" s="1042"/>
      <c r="G64" s="1042"/>
      <c r="H64" s="1042"/>
      <c r="I64" s="1042"/>
      <c r="J64" s="1042"/>
      <c r="K64" s="1042">
        <v>0</v>
      </c>
      <c r="L64" s="1039"/>
    </row>
    <row r="65" spans="1:12">
      <c r="A65" s="1040"/>
      <c r="B65" s="711" t="s">
        <v>28</v>
      </c>
      <c r="C65" s="1037" t="s">
        <v>23</v>
      </c>
      <c r="D65" s="1038"/>
      <c r="E65" s="1038"/>
      <c r="F65" s="1042"/>
      <c r="G65" s="1042"/>
      <c r="H65" s="1042"/>
      <c r="I65" s="1042"/>
      <c r="J65" s="1042"/>
      <c r="K65" s="1042">
        <v>0</v>
      </c>
      <c r="L65" s="1039"/>
    </row>
    <row r="66" spans="1:12">
      <c r="A66" s="1040"/>
      <c r="B66" s="711" t="s">
        <v>29</v>
      </c>
      <c r="C66" s="1037" t="s">
        <v>23</v>
      </c>
      <c r="D66" s="1038"/>
      <c r="E66" s="1038"/>
      <c r="F66" s="1042">
        <v>40</v>
      </c>
      <c r="G66" s="1042"/>
      <c r="H66" s="1042"/>
      <c r="I66" s="1042"/>
      <c r="J66" s="1042"/>
      <c r="K66" s="1042">
        <v>40</v>
      </c>
      <c r="L66" s="1039"/>
    </row>
    <row r="67" spans="1:12" ht="15.75" customHeight="1">
      <c r="A67" s="1043"/>
      <c r="B67" s="711" t="s">
        <v>34</v>
      </c>
      <c r="C67" s="1037" t="s">
        <v>23</v>
      </c>
      <c r="D67" s="1038">
        <v>0</v>
      </c>
      <c r="E67" s="1038">
        <v>0</v>
      </c>
      <c r="F67" s="1042">
        <v>40</v>
      </c>
      <c r="G67" s="1042">
        <v>0</v>
      </c>
      <c r="H67" s="1042">
        <v>0</v>
      </c>
      <c r="I67" s="1042">
        <v>0</v>
      </c>
      <c r="J67" s="1042">
        <v>0</v>
      </c>
      <c r="K67" s="1042">
        <v>40</v>
      </c>
      <c r="L67" s="1039"/>
    </row>
    <row r="68" spans="1:12" ht="28.5" customHeight="1">
      <c r="A68" s="1048" t="s">
        <v>300</v>
      </c>
      <c r="B68" s="1066" t="s">
        <v>506</v>
      </c>
      <c r="C68" s="1049"/>
      <c r="D68" s="1033"/>
      <c r="E68" s="1033"/>
      <c r="F68" s="1050"/>
      <c r="G68" s="1050"/>
      <c r="H68" s="1050"/>
      <c r="I68" s="1050"/>
      <c r="J68" s="1050"/>
      <c r="K68" s="1050"/>
      <c r="L68" s="1051"/>
    </row>
    <row r="69" spans="1:12" ht="67.5">
      <c r="A69" s="1040" t="s">
        <v>21</v>
      </c>
      <c r="B69" s="1041" t="s">
        <v>22</v>
      </c>
      <c r="C69" s="1037" t="s">
        <v>23</v>
      </c>
      <c r="D69" s="1038">
        <v>0</v>
      </c>
      <c r="E69" s="1038">
        <v>0</v>
      </c>
      <c r="F69" s="1042">
        <f>F70+F71</f>
        <v>11</v>
      </c>
      <c r="G69" s="1042">
        <v>0</v>
      </c>
      <c r="H69" s="1042">
        <v>0</v>
      </c>
      <c r="I69" s="1042">
        <v>0</v>
      </c>
      <c r="J69" s="1042">
        <v>0</v>
      </c>
      <c r="K69" s="1042">
        <f>F69</f>
        <v>11</v>
      </c>
      <c r="L69" s="1039"/>
    </row>
    <row r="70" spans="1:12">
      <c r="A70" s="1040"/>
      <c r="B70" s="711" t="s">
        <v>504</v>
      </c>
      <c r="C70" s="1037" t="s">
        <v>23</v>
      </c>
      <c r="D70" s="1038"/>
      <c r="E70" s="1038"/>
      <c r="F70" s="1042">
        <v>7</v>
      </c>
      <c r="G70" s="1042"/>
      <c r="H70" s="1042"/>
      <c r="I70" s="1042"/>
      <c r="J70" s="1042">
        <v>0</v>
      </c>
      <c r="K70" s="1042">
        <f>F70</f>
        <v>7</v>
      </c>
      <c r="L70" s="1039"/>
    </row>
    <row r="71" spans="1:12">
      <c r="A71" s="1040"/>
      <c r="B71" s="711" t="s">
        <v>27</v>
      </c>
      <c r="C71" s="1037" t="s">
        <v>23</v>
      </c>
      <c r="D71" s="1038"/>
      <c r="E71" s="1038"/>
      <c r="F71" s="1042">
        <v>4</v>
      </c>
      <c r="G71" s="1042"/>
      <c r="H71" s="1042"/>
      <c r="I71" s="1042"/>
      <c r="J71" s="1042">
        <v>0</v>
      </c>
      <c r="K71" s="1042">
        <v>4</v>
      </c>
      <c r="L71" s="1039"/>
    </row>
    <row r="72" spans="1:12">
      <c r="A72" s="1040"/>
      <c r="B72" s="711" t="s">
        <v>28</v>
      </c>
      <c r="C72" s="1037" t="s">
        <v>23</v>
      </c>
      <c r="D72" s="1038"/>
      <c r="E72" s="1038"/>
      <c r="F72" s="1042">
        <v>0</v>
      </c>
      <c r="G72" s="1042"/>
      <c r="H72" s="1042"/>
      <c r="I72" s="1042"/>
      <c r="J72" s="1042">
        <v>0</v>
      </c>
      <c r="K72" s="1042">
        <v>0</v>
      </c>
      <c r="L72" s="1039"/>
    </row>
    <row r="73" spans="1:12">
      <c r="A73" s="1040"/>
      <c r="B73" s="711" t="s">
        <v>29</v>
      </c>
      <c r="C73" s="1037" t="s">
        <v>23</v>
      </c>
      <c r="D73" s="1038"/>
      <c r="E73" s="1038"/>
      <c r="F73" s="1042">
        <v>0</v>
      </c>
      <c r="G73" s="1042"/>
      <c r="H73" s="1042"/>
      <c r="I73" s="1042"/>
      <c r="J73" s="1042">
        <v>0</v>
      </c>
      <c r="K73" s="1042">
        <v>0</v>
      </c>
      <c r="L73" s="1039"/>
    </row>
    <row r="74" spans="1:12" ht="54">
      <c r="A74" s="1043" t="s">
        <v>30</v>
      </c>
      <c r="B74" s="1041" t="s">
        <v>31</v>
      </c>
      <c r="C74" s="1037"/>
      <c r="D74" s="1038">
        <v>0</v>
      </c>
      <c r="E74" s="1038">
        <v>0</v>
      </c>
      <c r="F74" s="1042">
        <v>0</v>
      </c>
      <c r="G74" s="1042">
        <v>0</v>
      </c>
      <c r="H74" s="1042">
        <v>0</v>
      </c>
      <c r="I74" s="1042">
        <v>0</v>
      </c>
      <c r="J74" s="1042">
        <v>0</v>
      </c>
      <c r="K74" s="1042">
        <v>0</v>
      </c>
      <c r="L74" s="1039"/>
    </row>
    <row r="75" spans="1:12">
      <c r="A75" s="1040"/>
      <c r="B75" s="711" t="s">
        <v>504</v>
      </c>
      <c r="C75" s="1037" t="s">
        <v>23</v>
      </c>
      <c r="D75" s="1038"/>
      <c r="E75" s="1038"/>
      <c r="F75" s="1042">
        <v>7</v>
      </c>
      <c r="G75" s="1042"/>
      <c r="H75" s="1042"/>
      <c r="I75" s="1042"/>
      <c r="J75" s="1042">
        <v>0</v>
      </c>
      <c r="K75" s="1042">
        <f>F75</f>
        <v>7</v>
      </c>
      <c r="L75" s="1039"/>
    </row>
    <row r="76" spans="1:12">
      <c r="A76" s="1040"/>
      <c r="B76" s="711" t="s">
        <v>27</v>
      </c>
      <c r="C76" s="1037" t="s">
        <v>23</v>
      </c>
      <c r="D76" s="1038"/>
      <c r="E76" s="1038"/>
      <c r="F76" s="1042">
        <v>0</v>
      </c>
      <c r="G76" s="1042"/>
      <c r="H76" s="1042"/>
      <c r="I76" s="1042"/>
      <c r="J76" s="1042">
        <v>0</v>
      </c>
      <c r="K76" s="1042">
        <f>F76</f>
        <v>0</v>
      </c>
      <c r="L76" s="1039"/>
    </row>
    <row r="77" spans="1:12">
      <c r="A77" s="1040"/>
      <c r="B77" s="711" t="s">
        <v>28</v>
      </c>
      <c r="C77" s="1037" t="s">
        <v>23</v>
      </c>
      <c r="D77" s="1038"/>
      <c r="E77" s="1038"/>
      <c r="F77" s="1042">
        <v>0</v>
      </c>
      <c r="G77" s="1042"/>
      <c r="H77" s="1042"/>
      <c r="I77" s="1042"/>
      <c r="J77" s="1042">
        <v>0</v>
      </c>
      <c r="K77" s="1042">
        <v>0</v>
      </c>
      <c r="L77" s="1039"/>
    </row>
    <row r="78" spans="1:12">
      <c r="A78" s="1040"/>
      <c r="B78" s="711" t="s">
        <v>29</v>
      </c>
      <c r="C78" s="1037" t="s">
        <v>23</v>
      </c>
      <c r="D78" s="1038"/>
      <c r="E78" s="1038"/>
      <c r="F78" s="1042">
        <v>0</v>
      </c>
      <c r="G78" s="1042"/>
      <c r="H78" s="1042"/>
      <c r="I78" s="1042"/>
      <c r="J78" s="1042">
        <v>0</v>
      </c>
      <c r="K78" s="1042">
        <v>0</v>
      </c>
      <c r="L78" s="1039"/>
    </row>
    <row r="79" spans="1:12" ht="40.5">
      <c r="A79" s="1043" t="s">
        <v>32</v>
      </c>
      <c r="B79" s="1044" t="s">
        <v>33</v>
      </c>
      <c r="C79" s="1037" t="s">
        <v>23</v>
      </c>
      <c r="D79" s="1038"/>
      <c r="E79" s="1038"/>
      <c r="F79" s="1042">
        <v>2</v>
      </c>
      <c r="G79" s="1042"/>
      <c r="H79" s="1042"/>
      <c r="I79" s="1042"/>
      <c r="J79" s="1042">
        <v>0</v>
      </c>
      <c r="K79" s="1042">
        <v>2</v>
      </c>
      <c r="L79" s="1039"/>
    </row>
    <row r="80" spans="1:12" ht="61.5" customHeight="1">
      <c r="A80" s="1043"/>
      <c r="B80" s="711" t="s">
        <v>255</v>
      </c>
      <c r="C80" s="1037"/>
      <c r="D80" s="1038"/>
      <c r="E80" s="1038"/>
      <c r="F80" s="1042">
        <v>2</v>
      </c>
      <c r="G80" s="1042"/>
      <c r="H80" s="1042"/>
      <c r="I80" s="1042"/>
      <c r="J80" s="1042">
        <v>0</v>
      </c>
      <c r="K80" s="1042">
        <v>2</v>
      </c>
      <c r="L80" s="1039"/>
    </row>
    <row r="81" spans="1:12" ht="67.5">
      <c r="A81" s="1043" t="s">
        <v>35</v>
      </c>
      <c r="B81" s="1041" t="s">
        <v>36</v>
      </c>
      <c r="C81" s="1045" t="s">
        <v>23</v>
      </c>
      <c r="D81" s="1073">
        <v>0</v>
      </c>
      <c r="E81" s="1073">
        <v>0</v>
      </c>
      <c r="F81" s="1046">
        <f>F82+F85</f>
        <v>6</v>
      </c>
      <c r="G81" s="1046">
        <v>0</v>
      </c>
      <c r="H81" s="1046">
        <v>0</v>
      </c>
      <c r="I81" s="1046">
        <v>0</v>
      </c>
      <c r="J81" s="1046">
        <v>0</v>
      </c>
      <c r="K81" s="1046">
        <f>K82+K85</f>
        <v>6</v>
      </c>
      <c r="L81" s="1047"/>
    </row>
    <row r="82" spans="1:12">
      <c r="A82" s="1040"/>
      <c r="B82" s="711" t="s">
        <v>505</v>
      </c>
      <c r="C82" s="1037" t="s">
        <v>23</v>
      </c>
      <c r="D82" s="1038"/>
      <c r="E82" s="1038"/>
      <c r="F82" s="1042">
        <v>4</v>
      </c>
      <c r="G82" s="1042"/>
      <c r="H82" s="1042"/>
      <c r="I82" s="1042"/>
      <c r="J82" s="1042"/>
      <c r="K82" s="1042">
        <f>F82</f>
        <v>4</v>
      </c>
      <c r="L82" s="1039"/>
    </row>
    <row r="83" spans="1:12">
      <c r="A83" s="1040"/>
      <c r="B83" s="711" t="s">
        <v>28</v>
      </c>
      <c r="C83" s="1037" t="s">
        <v>23</v>
      </c>
      <c r="D83" s="1038"/>
      <c r="E83" s="1038"/>
      <c r="F83" s="1042"/>
      <c r="G83" s="1042"/>
      <c r="H83" s="1042"/>
      <c r="I83" s="1042"/>
      <c r="J83" s="1042"/>
      <c r="K83" s="1042">
        <v>0</v>
      </c>
      <c r="L83" s="1039"/>
    </row>
    <row r="84" spans="1:12">
      <c r="A84" s="1040"/>
      <c r="B84" s="711" t="s">
        <v>29</v>
      </c>
      <c r="C84" s="1037" t="s">
        <v>23</v>
      </c>
      <c r="D84" s="1038"/>
      <c r="E84" s="1038"/>
      <c r="F84" s="1042"/>
      <c r="G84" s="1042"/>
      <c r="H84" s="1042"/>
      <c r="I84" s="1042"/>
      <c r="J84" s="1042"/>
      <c r="K84" s="1042"/>
      <c r="L84" s="1039"/>
    </row>
    <row r="85" spans="1:12" ht="15.75" customHeight="1">
      <c r="A85" s="1043"/>
      <c r="B85" s="711" t="s">
        <v>34</v>
      </c>
      <c r="C85" s="1037" t="s">
        <v>23</v>
      </c>
      <c r="D85" s="1038">
        <v>0</v>
      </c>
      <c r="E85" s="1038">
        <v>0</v>
      </c>
      <c r="F85" s="1042">
        <v>2</v>
      </c>
      <c r="G85" s="1042">
        <v>0</v>
      </c>
      <c r="H85" s="1042">
        <v>0</v>
      </c>
      <c r="I85" s="1042">
        <v>0</v>
      </c>
      <c r="J85" s="1042">
        <v>0</v>
      </c>
      <c r="K85" s="1042">
        <v>2</v>
      </c>
      <c r="L85" s="1039"/>
    </row>
    <row r="86" spans="1:12" ht="23.25" customHeight="1">
      <c r="A86" s="1048" t="s">
        <v>300</v>
      </c>
      <c r="B86" s="1066" t="s">
        <v>508</v>
      </c>
      <c r="C86" s="1049"/>
      <c r="D86" s="1033"/>
      <c r="E86" s="1033"/>
      <c r="F86" s="1050"/>
      <c r="G86" s="1050"/>
      <c r="H86" s="1050"/>
      <c r="I86" s="1050"/>
      <c r="J86" s="1050"/>
      <c r="K86" s="1050"/>
      <c r="L86" s="1051"/>
    </row>
    <row r="87" spans="1:12" ht="67.5">
      <c r="A87" s="1040" t="s">
        <v>21</v>
      </c>
      <c r="B87" s="1041" t="s">
        <v>22</v>
      </c>
      <c r="C87" s="1037" t="s">
        <v>23</v>
      </c>
      <c r="D87" s="1038">
        <v>0</v>
      </c>
      <c r="E87" s="1038">
        <v>0</v>
      </c>
      <c r="F87" s="1042">
        <v>42</v>
      </c>
      <c r="G87" s="1042">
        <v>0</v>
      </c>
      <c r="H87" s="1042">
        <v>0</v>
      </c>
      <c r="I87" s="1042">
        <v>0</v>
      </c>
      <c r="J87" s="1042">
        <v>13</v>
      </c>
      <c r="K87" s="1042">
        <v>55</v>
      </c>
      <c r="L87" s="1039"/>
    </row>
    <row r="88" spans="1:12">
      <c r="A88" s="1040"/>
      <c r="B88" s="711" t="s">
        <v>507</v>
      </c>
      <c r="C88" s="1037" t="s">
        <v>23</v>
      </c>
      <c r="D88" s="1038"/>
      <c r="E88" s="1038"/>
      <c r="F88" s="1042">
        <v>6</v>
      </c>
      <c r="G88" s="1042"/>
      <c r="H88" s="1042"/>
      <c r="I88" s="1042"/>
      <c r="J88" s="1042">
        <v>3</v>
      </c>
      <c r="K88" s="1042">
        <v>9</v>
      </c>
      <c r="L88" s="1039"/>
    </row>
    <row r="89" spans="1:12">
      <c r="A89" s="1040"/>
      <c r="B89" s="711" t="s">
        <v>26</v>
      </c>
      <c r="C89" s="1037" t="s">
        <v>23</v>
      </c>
      <c r="D89" s="1038"/>
      <c r="E89" s="1038"/>
      <c r="F89" s="1042">
        <v>8</v>
      </c>
      <c r="G89" s="1042"/>
      <c r="H89" s="1042"/>
      <c r="I89" s="1042"/>
      <c r="J89" s="1042">
        <v>8</v>
      </c>
      <c r="K89" s="1042">
        <v>16</v>
      </c>
      <c r="L89" s="1039"/>
    </row>
    <row r="90" spans="1:12">
      <c r="A90" s="1040"/>
      <c r="B90" s="711" t="s">
        <v>27</v>
      </c>
      <c r="C90" s="1037" t="s">
        <v>23</v>
      </c>
      <c r="D90" s="1038"/>
      <c r="E90" s="1038"/>
      <c r="F90" s="1042">
        <v>15</v>
      </c>
      <c r="G90" s="1042"/>
      <c r="H90" s="1042"/>
      <c r="I90" s="1042"/>
      <c r="J90" s="1042">
        <v>0</v>
      </c>
      <c r="K90" s="1042">
        <v>15</v>
      </c>
      <c r="L90" s="1039"/>
    </row>
    <row r="91" spans="1:12">
      <c r="A91" s="1040"/>
      <c r="B91" s="711" t="s">
        <v>28</v>
      </c>
      <c r="C91" s="1037" t="s">
        <v>23</v>
      </c>
      <c r="D91" s="1038"/>
      <c r="E91" s="1038"/>
      <c r="F91" s="1042">
        <v>13</v>
      </c>
      <c r="G91" s="1042"/>
      <c r="H91" s="1042"/>
      <c r="I91" s="1042"/>
      <c r="J91" s="1042">
        <v>2</v>
      </c>
      <c r="K91" s="1042">
        <v>15</v>
      </c>
      <c r="L91" s="1039"/>
    </row>
    <row r="92" spans="1:12">
      <c r="A92" s="1040"/>
      <c r="B92" s="711" t="s">
        <v>29</v>
      </c>
      <c r="C92" s="1037" t="s">
        <v>23</v>
      </c>
      <c r="D92" s="1038"/>
      <c r="E92" s="1038"/>
      <c r="F92" s="1042">
        <v>0</v>
      </c>
      <c r="G92" s="1042"/>
      <c r="H92" s="1042"/>
      <c r="I92" s="1042"/>
      <c r="J92" s="1042">
        <v>0</v>
      </c>
      <c r="K92" s="1042">
        <v>0</v>
      </c>
      <c r="L92" s="1039"/>
    </row>
    <row r="93" spans="1:12" ht="54">
      <c r="A93" s="1043" t="s">
        <v>30</v>
      </c>
      <c r="B93" s="1041" t="s">
        <v>31</v>
      </c>
      <c r="C93" s="1037"/>
      <c r="D93" s="1038">
        <v>0</v>
      </c>
      <c r="E93" s="1038">
        <v>0</v>
      </c>
      <c r="F93" s="1042">
        <v>14</v>
      </c>
      <c r="G93" s="1042">
        <v>0</v>
      </c>
      <c r="H93" s="1042">
        <v>0</v>
      </c>
      <c r="I93" s="1042">
        <v>0</v>
      </c>
      <c r="J93" s="1042">
        <v>11</v>
      </c>
      <c r="K93" s="1042">
        <v>25</v>
      </c>
      <c r="L93" s="1039"/>
    </row>
    <row r="94" spans="1:12">
      <c r="A94" s="1040"/>
      <c r="B94" s="711" t="s">
        <v>507</v>
      </c>
      <c r="C94" s="1037" t="s">
        <v>23</v>
      </c>
      <c r="D94" s="1038"/>
      <c r="E94" s="1038"/>
      <c r="F94" s="1042">
        <v>6</v>
      </c>
      <c r="G94" s="1042"/>
      <c r="H94" s="1042"/>
      <c r="I94" s="1042"/>
      <c r="J94" s="1042">
        <v>3</v>
      </c>
      <c r="K94" s="1042">
        <v>9</v>
      </c>
      <c r="L94" s="1039"/>
    </row>
    <row r="95" spans="1:12">
      <c r="A95" s="1040"/>
      <c r="B95" s="711" t="s">
        <v>26</v>
      </c>
      <c r="C95" s="1037" t="s">
        <v>23</v>
      </c>
      <c r="D95" s="1038"/>
      <c r="E95" s="1038"/>
      <c r="F95" s="1042">
        <v>8</v>
      </c>
      <c r="G95" s="1042"/>
      <c r="H95" s="1042"/>
      <c r="I95" s="1042"/>
      <c r="J95" s="1042">
        <v>8</v>
      </c>
      <c r="K95" s="1042">
        <v>16</v>
      </c>
      <c r="L95" s="1039"/>
    </row>
    <row r="96" spans="1:12">
      <c r="A96" s="1040"/>
      <c r="B96" s="711" t="s">
        <v>27</v>
      </c>
      <c r="C96" s="1037" t="s">
        <v>23</v>
      </c>
      <c r="D96" s="1038"/>
      <c r="E96" s="1038"/>
      <c r="F96" s="1042">
        <v>0</v>
      </c>
      <c r="G96" s="1042"/>
      <c r="H96" s="1042"/>
      <c r="I96" s="1042"/>
      <c r="J96" s="1042">
        <v>0</v>
      </c>
      <c r="K96" s="1042">
        <v>0</v>
      </c>
      <c r="L96" s="1039"/>
    </row>
    <row r="97" spans="1:12">
      <c r="A97" s="1040"/>
      <c r="B97" s="711" t="s">
        <v>28</v>
      </c>
      <c r="C97" s="1037" t="s">
        <v>23</v>
      </c>
      <c r="D97" s="1038"/>
      <c r="E97" s="1038"/>
      <c r="F97" s="1042">
        <v>0</v>
      </c>
      <c r="G97" s="1042"/>
      <c r="H97" s="1042"/>
      <c r="I97" s="1042"/>
      <c r="J97" s="1042">
        <v>0</v>
      </c>
      <c r="K97" s="1042">
        <v>0</v>
      </c>
      <c r="L97" s="1039"/>
    </row>
    <row r="98" spans="1:12">
      <c r="A98" s="1040"/>
      <c r="B98" s="711" t="s">
        <v>29</v>
      </c>
      <c r="C98" s="1037" t="s">
        <v>23</v>
      </c>
      <c r="D98" s="1038"/>
      <c r="E98" s="1038"/>
      <c r="F98" s="1042">
        <v>0</v>
      </c>
      <c r="G98" s="1042"/>
      <c r="H98" s="1042"/>
      <c r="I98" s="1042"/>
      <c r="J98" s="1042">
        <v>0</v>
      </c>
      <c r="K98" s="1042">
        <v>0</v>
      </c>
      <c r="L98" s="1039"/>
    </row>
    <row r="99" spans="1:12" ht="40.5">
      <c r="A99" s="1043" t="s">
        <v>32</v>
      </c>
      <c r="B99" s="1044" t="s">
        <v>33</v>
      </c>
      <c r="C99" s="1037" t="s">
        <v>23</v>
      </c>
      <c r="D99" s="1038"/>
      <c r="E99" s="1038"/>
      <c r="F99" s="1042"/>
      <c r="G99" s="1042"/>
      <c r="H99" s="1042"/>
      <c r="I99" s="1042"/>
      <c r="J99" s="1042"/>
      <c r="K99" s="1042">
        <v>0</v>
      </c>
      <c r="L99" s="1039"/>
    </row>
    <row r="100" spans="1:12" ht="61.5" customHeight="1">
      <c r="A100" s="1043"/>
      <c r="B100" s="711" t="s">
        <v>255</v>
      </c>
      <c r="C100" s="1037"/>
      <c r="D100" s="1038"/>
      <c r="E100" s="1038"/>
      <c r="F100" s="1042">
        <v>10</v>
      </c>
      <c r="G100" s="1042"/>
      <c r="H100" s="1042"/>
      <c r="I100" s="1042"/>
      <c r="J100" s="1042">
        <v>10</v>
      </c>
      <c r="K100" s="1042">
        <v>20</v>
      </c>
      <c r="L100" s="1039"/>
    </row>
    <row r="101" spans="1:12" ht="67.5">
      <c r="A101" s="1043" t="s">
        <v>35</v>
      </c>
      <c r="B101" s="1041" t="s">
        <v>36</v>
      </c>
      <c r="C101" s="1045" t="s">
        <v>23</v>
      </c>
      <c r="D101" s="1073">
        <v>0</v>
      </c>
      <c r="E101" s="1073">
        <v>0</v>
      </c>
      <c r="F101" s="1046">
        <v>38</v>
      </c>
      <c r="G101" s="1046">
        <v>0</v>
      </c>
      <c r="H101" s="1046">
        <v>0</v>
      </c>
      <c r="I101" s="1046">
        <v>0</v>
      </c>
      <c r="J101" s="1046">
        <v>12</v>
      </c>
      <c r="K101" s="1046">
        <v>50</v>
      </c>
      <c r="L101" s="1047"/>
    </row>
    <row r="102" spans="1:12">
      <c r="A102" s="1040"/>
      <c r="B102" s="711" t="s">
        <v>24</v>
      </c>
      <c r="C102" s="1037" t="s">
        <v>23</v>
      </c>
      <c r="D102" s="1038">
        <v>0</v>
      </c>
      <c r="E102" s="1038">
        <v>0</v>
      </c>
      <c r="F102" s="1042">
        <v>0</v>
      </c>
      <c r="G102" s="1042">
        <v>0</v>
      </c>
      <c r="H102" s="1042">
        <v>0</v>
      </c>
      <c r="I102" s="1042">
        <v>0</v>
      </c>
      <c r="J102" s="1042">
        <v>0</v>
      </c>
      <c r="K102" s="1042">
        <v>0</v>
      </c>
      <c r="L102" s="1039"/>
    </row>
    <row r="103" spans="1:12">
      <c r="A103" s="1040"/>
      <c r="B103" s="711" t="s">
        <v>37</v>
      </c>
      <c r="C103" s="1037" t="s">
        <v>23</v>
      </c>
      <c r="D103" s="1038">
        <v>0</v>
      </c>
      <c r="E103" s="1038">
        <v>0</v>
      </c>
      <c r="F103" s="1042">
        <v>0</v>
      </c>
      <c r="G103" s="1042">
        <v>0</v>
      </c>
      <c r="H103" s="1042">
        <v>0</v>
      </c>
      <c r="I103" s="1042">
        <v>0</v>
      </c>
      <c r="J103" s="1042">
        <v>0</v>
      </c>
      <c r="K103" s="1042">
        <v>0</v>
      </c>
      <c r="L103" s="1039"/>
    </row>
    <row r="104" spans="1:12">
      <c r="A104" s="1040"/>
      <c r="B104" s="711" t="s">
        <v>38</v>
      </c>
      <c r="C104" s="1037" t="s">
        <v>23</v>
      </c>
      <c r="D104" s="1038">
        <v>0</v>
      </c>
      <c r="E104" s="1038">
        <v>0</v>
      </c>
      <c r="F104" s="1042">
        <v>15</v>
      </c>
      <c r="G104" s="1042">
        <v>0</v>
      </c>
      <c r="H104" s="1042">
        <v>0</v>
      </c>
      <c r="I104" s="1042">
        <v>0</v>
      </c>
      <c r="J104" s="1042">
        <v>0</v>
      </c>
      <c r="K104" s="1042">
        <v>15</v>
      </c>
      <c r="L104" s="1039"/>
    </row>
    <row r="105" spans="1:12">
      <c r="A105" s="1040"/>
      <c r="B105" s="711" t="s">
        <v>39</v>
      </c>
      <c r="C105" s="1037" t="s">
        <v>23</v>
      </c>
      <c r="D105" s="1038">
        <v>0</v>
      </c>
      <c r="E105" s="1038">
        <v>0</v>
      </c>
      <c r="F105" s="1042">
        <v>13</v>
      </c>
      <c r="G105" s="1042">
        <v>0</v>
      </c>
      <c r="H105" s="1042">
        <v>0</v>
      </c>
      <c r="I105" s="1042">
        <v>0</v>
      </c>
      <c r="J105" s="1042">
        <v>2</v>
      </c>
      <c r="K105" s="1042">
        <v>15</v>
      </c>
      <c r="L105" s="1039"/>
    </row>
    <row r="106" spans="1:12">
      <c r="A106" s="1040"/>
      <c r="B106" s="711" t="s">
        <v>40</v>
      </c>
      <c r="C106" s="1037" t="s">
        <v>23</v>
      </c>
      <c r="D106" s="1038">
        <v>0</v>
      </c>
      <c r="E106" s="1038">
        <v>0</v>
      </c>
      <c r="F106" s="1042">
        <v>0</v>
      </c>
      <c r="G106" s="1042">
        <v>0</v>
      </c>
      <c r="H106" s="1042">
        <v>0</v>
      </c>
      <c r="I106" s="1042">
        <v>0</v>
      </c>
      <c r="J106" s="1042">
        <v>0</v>
      </c>
      <c r="K106" s="1042">
        <v>0</v>
      </c>
      <c r="L106" s="1039"/>
    </row>
    <row r="107" spans="1:12" ht="15.75" customHeight="1" thickBot="1">
      <c r="A107" s="1076"/>
      <c r="B107" s="731" t="s">
        <v>34</v>
      </c>
      <c r="C107" s="1054" t="s">
        <v>23</v>
      </c>
      <c r="D107" s="1075">
        <v>0</v>
      </c>
      <c r="E107" s="1075">
        <v>0</v>
      </c>
      <c r="F107" s="1055">
        <v>10</v>
      </c>
      <c r="G107" s="1055">
        <v>0</v>
      </c>
      <c r="H107" s="1055">
        <v>0</v>
      </c>
      <c r="I107" s="1055">
        <v>0</v>
      </c>
      <c r="J107" s="1055">
        <v>10</v>
      </c>
      <c r="K107" s="1055">
        <v>20</v>
      </c>
      <c r="L107" s="1056"/>
    </row>
    <row r="108" spans="1:12">
      <c r="A108" s="90"/>
      <c r="B108" s="91"/>
      <c r="C108" s="91"/>
      <c r="D108" s="91"/>
      <c r="E108" s="91"/>
      <c r="F108" s="470"/>
      <c r="G108" s="470"/>
      <c r="H108" s="470"/>
      <c r="I108" s="470"/>
      <c r="J108" s="1304"/>
      <c r="K108" s="1304"/>
      <c r="L108" s="1304"/>
    </row>
    <row r="109" spans="1:12">
      <c r="A109" s="241"/>
      <c r="B109" s="242"/>
      <c r="C109" s="243"/>
      <c r="D109" s="243"/>
      <c r="E109" s="243"/>
      <c r="F109" s="473"/>
      <c r="G109" s="473"/>
      <c r="H109" s="473"/>
      <c r="I109" s="473"/>
      <c r="K109" s="472"/>
      <c r="L109" s="102" t="s">
        <v>42</v>
      </c>
    </row>
    <row r="110" spans="1:12" ht="15.5">
      <c r="A110" s="1299"/>
      <c r="B110" s="1299"/>
      <c r="C110" s="1299"/>
      <c r="D110" s="244"/>
      <c r="E110" s="244"/>
      <c r="F110" s="475"/>
      <c r="G110" s="475"/>
      <c r="H110" s="475"/>
      <c r="I110" s="475"/>
      <c r="J110" s="1297" t="s">
        <v>1427</v>
      </c>
      <c r="K110" s="1297"/>
      <c r="L110" s="1297"/>
    </row>
    <row r="111" spans="1:12" ht="15.5">
      <c r="A111" s="1217"/>
      <c r="B111" s="1217"/>
      <c r="C111" s="1217"/>
      <c r="D111" s="244"/>
      <c r="E111" s="244"/>
      <c r="F111" s="475"/>
      <c r="G111" s="475"/>
      <c r="H111" s="475"/>
      <c r="I111" s="475"/>
      <c r="J111" s="1297"/>
      <c r="K111" s="1297"/>
      <c r="L111" s="1297"/>
    </row>
    <row r="112" spans="1:12">
      <c r="I112" s="1296"/>
      <c r="J112" s="1296"/>
      <c r="K112" s="1296"/>
      <c r="L112" s="1296"/>
    </row>
    <row r="114" spans="10:12" ht="15">
      <c r="J114" s="1298" t="s">
        <v>1428</v>
      </c>
      <c r="K114" s="1298"/>
      <c r="L114" s="1298"/>
    </row>
  </sheetData>
  <mergeCells count="10">
    <mergeCell ref="A1:B1"/>
    <mergeCell ref="K1:L1"/>
    <mergeCell ref="A2:B2"/>
    <mergeCell ref="A3:L3"/>
    <mergeCell ref="J108:L108"/>
    <mergeCell ref="I112:L112"/>
    <mergeCell ref="J111:L111"/>
    <mergeCell ref="J114:L114"/>
    <mergeCell ref="A110:C110"/>
    <mergeCell ref="J110:L110"/>
  </mergeCells>
  <pageMargins left="0" right="0" top="0" bottom="0" header="0" footer="0"/>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3"/>
  <sheetViews>
    <sheetView tabSelected="1" topLeftCell="A56" zoomScale="130" zoomScaleNormal="130" workbookViewId="0">
      <selection activeCell="E62" sqref="E62"/>
    </sheetView>
  </sheetViews>
  <sheetFormatPr defaultColWidth="9" defaultRowHeight="14" outlineLevelCol="1"/>
  <cols>
    <col min="1" max="1" width="4.9140625" style="476" customWidth="1"/>
    <col min="2" max="2" width="36.6640625" style="71" customWidth="1"/>
    <col min="3" max="3" width="16.9140625" style="71" customWidth="1"/>
    <col min="4" max="4" width="25.58203125" style="71" customWidth="1"/>
    <col min="5" max="5" width="7.9140625" style="71" customWidth="1" outlineLevel="1"/>
    <col min="6" max="7" width="9.9140625" style="71" customWidth="1" outlineLevel="1"/>
    <col min="8" max="8" width="12.4140625" style="71" customWidth="1"/>
    <col min="9" max="9" width="18.58203125" style="70" customWidth="1"/>
    <col min="10" max="10" width="57.4140625" style="70" bestFit="1" customWidth="1"/>
    <col min="11" max="16384" width="9" style="70"/>
  </cols>
  <sheetData>
    <row r="1" spans="1:10" ht="15">
      <c r="A1" s="1418" t="s">
        <v>275</v>
      </c>
      <c r="B1" s="1418"/>
      <c r="C1" s="1418"/>
      <c r="D1" s="482"/>
      <c r="I1" s="491" t="s">
        <v>276</v>
      </c>
    </row>
    <row r="2" spans="1:10" ht="14.25" customHeight="1">
      <c r="A2" s="1421" t="s">
        <v>1363</v>
      </c>
      <c r="B2" s="1421"/>
      <c r="C2" s="1421"/>
      <c r="D2" s="483"/>
      <c r="E2" s="1297"/>
      <c r="F2" s="1297"/>
      <c r="G2" s="1297"/>
      <c r="H2" s="1297"/>
      <c r="I2" s="1297"/>
    </row>
    <row r="3" spans="1:10" ht="30" customHeight="1">
      <c r="A3" s="1297" t="s">
        <v>277</v>
      </c>
      <c r="B3" s="1297"/>
      <c r="C3" s="1297"/>
      <c r="D3" s="1297"/>
      <c r="E3" s="1297"/>
      <c r="F3" s="1297"/>
      <c r="G3" s="1297"/>
      <c r="H3" s="1297"/>
      <c r="I3" s="1297"/>
    </row>
    <row r="4" spans="1:10" ht="14.5" thickBot="1">
      <c r="A4" s="585"/>
      <c r="B4" s="585"/>
      <c r="C4" s="585"/>
      <c r="D4" s="585"/>
      <c r="E4" s="585"/>
      <c r="F4" s="585"/>
      <c r="G4" s="585"/>
      <c r="H4" s="585"/>
      <c r="I4" s="586" t="s">
        <v>259</v>
      </c>
    </row>
    <row r="5" spans="1:10" ht="38.25" customHeight="1">
      <c r="A5" s="801" t="s">
        <v>5</v>
      </c>
      <c r="B5" s="802" t="s">
        <v>278</v>
      </c>
      <c r="C5" s="802" t="s">
        <v>617</v>
      </c>
      <c r="D5" s="802" t="s">
        <v>650</v>
      </c>
      <c r="E5" s="802" t="s">
        <v>7</v>
      </c>
      <c r="F5" s="802" t="s">
        <v>279</v>
      </c>
      <c r="G5" s="802" t="s">
        <v>69</v>
      </c>
      <c r="H5" s="802" t="s">
        <v>280</v>
      </c>
      <c r="I5" s="803" t="s">
        <v>16</v>
      </c>
    </row>
    <row r="6" spans="1:10" ht="54.75" customHeight="1">
      <c r="A6" s="804">
        <v>1</v>
      </c>
      <c r="B6" s="552" t="s">
        <v>281</v>
      </c>
      <c r="C6" s="559"/>
      <c r="D6" s="559"/>
      <c r="E6" s="587"/>
      <c r="F6" s="587"/>
      <c r="G6" s="587"/>
      <c r="H6" s="538">
        <f>SUM(H7:H8)</f>
        <v>24000</v>
      </c>
      <c r="I6" s="805"/>
      <c r="J6" s="595"/>
    </row>
    <row r="7" spans="1:10" ht="21.9" customHeight="1">
      <c r="A7" s="806">
        <v>1.1000000000000001</v>
      </c>
      <c r="B7" s="559" t="s">
        <v>1180</v>
      </c>
      <c r="C7" s="559"/>
      <c r="D7" s="559"/>
      <c r="E7" s="587" t="s">
        <v>1322</v>
      </c>
      <c r="F7" s="587">
        <v>8000</v>
      </c>
      <c r="G7" s="587">
        <v>2</v>
      </c>
      <c r="H7" s="636">
        <f>G7*F7</f>
        <v>16000</v>
      </c>
      <c r="I7" s="805"/>
      <c r="J7" s="71"/>
    </row>
    <row r="8" spans="1:10" ht="21.9" customHeight="1">
      <c r="A8" s="806">
        <v>1.2</v>
      </c>
      <c r="B8" s="559" t="s">
        <v>1181</v>
      </c>
      <c r="C8" s="559"/>
      <c r="D8" s="559"/>
      <c r="E8" s="587" t="s">
        <v>1322</v>
      </c>
      <c r="F8" s="587">
        <v>4000</v>
      </c>
      <c r="G8" s="587">
        <v>2</v>
      </c>
      <c r="H8" s="636">
        <f>G8*F8</f>
        <v>8000</v>
      </c>
      <c r="I8" s="805"/>
    </row>
    <row r="9" spans="1:10" ht="21.9" customHeight="1">
      <c r="A9" s="806">
        <v>2</v>
      </c>
      <c r="B9" s="552" t="s">
        <v>282</v>
      </c>
      <c r="C9" s="559"/>
      <c r="D9" s="559"/>
      <c r="E9" s="587"/>
      <c r="F9" s="587"/>
      <c r="G9" s="587"/>
      <c r="H9" s="538">
        <f>SUM(H10:H43)</f>
        <v>17380</v>
      </c>
      <c r="I9" s="805"/>
    </row>
    <row r="10" spans="1:10" ht="21.9" customHeight="1">
      <c r="A10" s="807">
        <v>2.1</v>
      </c>
      <c r="B10" s="559" t="s">
        <v>1188</v>
      </c>
      <c r="C10" s="559" t="s">
        <v>1189</v>
      </c>
      <c r="D10" s="556" t="s">
        <v>1477</v>
      </c>
      <c r="E10" s="588" t="s">
        <v>1195</v>
      </c>
      <c r="F10" s="589">
        <v>98</v>
      </c>
      <c r="G10" s="589">
        <v>5</v>
      </c>
      <c r="H10" s="637">
        <f>G10*F10</f>
        <v>490</v>
      </c>
      <c r="I10" s="808" t="s">
        <v>1196</v>
      </c>
    </row>
    <row r="11" spans="1:10" ht="21.9" customHeight="1">
      <c r="A11" s="807">
        <v>2.2000000000000002</v>
      </c>
      <c r="B11" s="559" t="s">
        <v>1190</v>
      </c>
      <c r="C11" s="559" t="s">
        <v>1189</v>
      </c>
      <c r="D11" s="556" t="s">
        <v>1477</v>
      </c>
      <c r="E11" s="588" t="s">
        <v>1195</v>
      </c>
      <c r="F11" s="589">
        <v>96</v>
      </c>
      <c r="G11" s="589">
        <v>5</v>
      </c>
      <c r="H11" s="637">
        <f t="shared" ref="H11:H36" si="0">G11*F11</f>
        <v>480</v>
      </c>
      <c r="I11" s="808" t="s">
        <v>1196</v>
      </c>
    </row>
    <row r="12" spans="1:10" ht="21.9" customHeight="1">
      <c r="A12" s="807">
        <v>2.2999999999999998</v>
      </c>
      <c r="B12" s="559" t="s">
        <v>1191</v>
      </c>
      <c r="C12" s="559" t="s">
        <v>1189</v>
      </c>
      <c r="D12" s="556" t="s">
        <v>1477</v>
      </c>
      <c r="E12" s="588" t="s">
        <v>1195</v>
      </c>
      <c r="F12" s="589">
        <v>50</v>
      </c>
      <c r="G12" s="589">
        <v>5</v>
      </c>
      <c r="H12" s="637">
        <f t="shared" si="0"/>
        <v>250</v>
      </c>
      <c r="I12" s="808" t="s">
        <v>1196</v>
      </c>
    </row>
    <row r="13" spans="1:10" ht="21.9" customHeight="1">
      <c r="A13" s="807">
        <v>2.4</v>
      </c>
      <c r="B13" s="559" t="s">
        <v>1192</v>
      </c>
      <c r="C13" s="559" t="s">
        <v>1189</v>
      </c>
      <c r="D13" s="556" t="s">
        <v>1477</v>
      </c>
      <c r="E13" s="588" t="s">
        <v>1195</v>
      </c>
      <c r="F13" s="589">
        <v>110</v>
      </c>
      <c r="G13" s="589">
        <v>5</v>
      </c>
      <c r="H13" s="637">
        <f t="shared" si="0"/>
        <v>550</v>
      </c>
      <c r="I13" s="808" t="s">
        <v>1196</v>
      </c>
    </row>
    <row r="14" spans="1:10" ht="39" customHeight="1">
      <c r="A14" s="807">
        <v>2.5</v>
      </c>
      <c r="B14" s="558" t="s">
        <v>1193</v>
      </c>
      <c r="C14" s="556" t="s">
        <v>1194</v>
      </c>
      <c r="D14" s="556" t="s">
        <v>1477</v>
      </c>
      <c r="E14" s="588" t="s">
        <v>1195</v>
      </c>
      <c r="F14" s="590">
        <v>116</v>
      </c>
      <c r="G14" s="589">
        <v>5</v>
      </c>
      <c r="H14" s="637">
        <f t="shared" si="0"/>
        <v>580</v>
      </c>
      <c r="I14" s="808" t="s">
        <v>1196</v>
      </c>
    </row>
    <row r="15" spans="1:10" ht="36.9" customHeight="1">
      <c r="A15" s="807">
        <v>2.6</v>
      </c>
      <c r="B15" s="558" t="s">
        <v>1197</v>
      </c>
      <c r="C15" s="556" t="s">
        <v>1198</v>
      </c>
      <c r="D15" s="556" t="s">
        <v>1477</v>
      </c>
      <c r="E15" s="588" t="s">
        <v>1195</v>
      </c>
      <c r="F15" s="590">
        <v>185</v>
      </c>
      <c r="G15" s="589">
        <v>5</v>
      </c>
      <c r="H15" s="637">
        <f t="shared" si="0"/>
        <v>925</v>
      </c>
      <c r="I15" s="808" t="s">
        <v>1196</v>
      </c>
    </row>
    <row r="16" spans="1:10" ht="36.9" customHeight="1">
      <c r="A16" s="807">
        <v>2.7</v>
      </c>
      <c r="B16" s="558" t="s">
        <v>1199</v>
      </c>
      <c r="C16" s="556" t="s">
        <v>1194</v>
      </c>
      <c r="D16" s="556" t="s">
        <v>1477</v>
      </c>
      <c r="E16" s="588" t="s">
        <v>1195</v>
      </c>
      <c r="F16" s="590">
        <v>76</v>
      </c>
      <c r="G16" s="589">
        <v>5</v>
      </c>
      <c r="H16" s="637">
        <f t="shared" si="0"/>
        <v>380</v>
      </c>
      <c r="I16" s="808" t="s">
        <v>1196</v>
      </c>
    </row>
    <row r="17" spans="1:9" ht="36.9" customHeight="1">
      <c r="A17" s="807">
        <v>2.8</v>
      </c>
      <c r="B17" s="558" t="s">
        <v>1200</v>
      </c>
      <c r="C17" s="556" t="s">
        <v>1194</v>
      </c>
      <c r="D17" s="556" t="s">
        <v>1477</v>
      </c>
      <c r="E17" s="588" t="s">
        <v>1195</v>
      </c>
      <c r="F17" s="590">
        <v>54</v>
      </c>
      <c r="G17" s="589">
        <v>5</v>
      </c>
      <c r="H17" s="637">
        <f t="shared" si="0"/>
        <v>270</v>
      </c>
      <c r="I17" s="808" t="s">
        <v>1196</v>
      </c>
    </row>
    <row r="18" spans="1:9" ht="36.9" customHeight="1">
      <c r="A18" s="807">
        <v>2.9</v>
      </c>
      <c r="B18" s="558" t="s">
        <v>1201</v>
      </c>
      <c r="C18" s="556" t="s">
        <v>1194</v>
      </c>
      <c r="D18" s="556" t="s">
        <v>1477</v>
      </c>
      <c r="E18" s="588" t="s">
        <v>1195</v>
      </c>
      <c r="F18" s="590">
        <v>62</v>
      </c>
      <c r="G18" s="589">
        <v>5</v>
      </c>
      <c r="H18" s="637">
        <f t="shared" si="0"/>
        <v>310</v>
      </c>
      <c r="I18" s="808" t="s">
        <v>1196</v>
      </c>
    </row>
    <row r="19" spans="1:9" ht="36.9" customHeight="1">
      <c r="A19" s="809" t="s">
        <v>451</v>
      </c>
      <c r="B19" s="558" t="s">
        <v>1202</v>
      </c>
      <c r="C19" s="556" t="s">
        <v>1194</v>
      </c>
      <c r="D19" s="556" t="s">
        <v>1477</v>
      </c>
      <c r="E19" s="588" t="s">
        <v>1195</v>
      </c>
      <c r="F19" s="590">
        <v>146</v>
      </c>
      <c r="G19" s="589">
        <v>5</v>
      </c>
      <c r="H19" s="637">
        <f t="shared" si="0"/>
        <v>730</v>
      </c>
      <c r="I19" s="808" t="s">
        <v>1196</v>
      </c>
    </row>
    <row r="20" spans="1:9" ht="36.9" customHeight="1">
      <c r="A20" s="807">
        <v>2.11</v>
      </c>
      <c r="B20" s="558" t="s">
        <v>1203</v>
      </c>
      <c r="C20" s="556" t="s">
        <v>1204</v>
      </c>
      <c r="D20" s="556" t="s">
        <v>1477</v>
      </c>
      <c r="E20" s="588" t="s">
        <v>1195</v>
      </c>
      <c r="F20" s="590">
        <v>231</v>
      </c>
      <c r="G20" s="589">
        <v>5</v>
      </c>
      <c r="H20" s="637">
        <f t="shared" si="0"/>
        <v>1155</v>
      </c>
      <c r="I20" s="808" t="s">
        <v>1196</v>
      </c>
    </row>
    <row r="21" spans="1:9" ht="36.9" customHeight="1">
      <c r="A21" s="807">
        <v>2.12</v>
      </c>
      <c r="B21" s="558" t="s">
        <v>1205</v>
      </c>
      <c r="C21" s="556" t="s">
        <v>1194</v>
      </c>
      <c r="D21" s="556" t="s">
        <v>1477</v>
      </c>
      <c r="E21" s="588" t="s">
        <v>1195</v>
      </c>
      <c r="F21" s="590">
        <v>57</v>
      </c>
      <c r="G21" s="589">
        <v>5</v>
      </c>
      <c r="H21" s="637">
        <f t="shared" si="0"/>
        <v>285</v>
      </c>
      <c r="I21" s="808" t="s">
        <v>1196</v>
      </c>
    </row>
    <row r="22" spans="1:9" ht="36.9" customHeight="1">
      <c r="A22" s="807">
        <v>2.13</v>
      </c>
      <c r="B22" s="558" t="s">
        <v>1206</v>
      </c>
      <c r="C22" s="556" t="s">
        <v>1194</v>
      </c>
      <c r="D22" s="556" t="s">
        <v>1477</v>
      </c>
      <c r="E22" s="588" t="s">
        <v>1195</v>
      </c>
      <c r="F22" s="590">
        <v>85</v>
      </c>
      <c r="G22" s="589">
        <v>5</v>
      </c>
      <c r="H22" s="637">
        <f t="shared" si="0"/>
        <v>425</v>
      </c>
      <c r="I22" s="808" t="s">
        <v>1196</v>
      </c>
    </row>
    <row r="23" spans="1:9" ht="36.9" customHeight="1">
      <c r="A23" s="807">
        <v>2.14</v>
      </c>
      <c r="B23" s="558" t="s">
        <v>1207</v>
      </c>
      <c r="C23" s="556" t="s">
        <v>1194</v>
      </c>
      <c r="D23" s="556" t="s">
        <v>1477</v>
      </c>
      <c r="E23" s="588" t="s">
        <v>1195</v>
      </c>
      <c r="F23" s="590">
        <v>81</v>
      </c>
      <c r="G23" s="589">
        <v>5</v>
      </c>
      <c r="H23" s="637">
        <f t="shared" si="0"/>
        <v>405</v>
      </c>
      <c r="I23" s="808" t="s">
        <v>1196</v>
      </c>
    </row>
    <row r="24" spans="1:9" ht="36.9" customHeight="1">
      <c r="A24" s="807">
        <v>2.15</v>
      </c>
      <c r="B24" s="558" t="s">
        <v>1208</v>
      </c>
      <c r="C24" s="556" t="s">
        <v>1194</v>
      </c>
      <c r="D24" s="556" t="s">
        <v>1477</v>
      </c>
      <c r="E24" s="588" t="s">
        <v>1195</v>
      </c>
      <c r="F24" s="590">
        <v>59</v>
      </c>
      <c r="G24" s="589">
        <v>5</v>
      </c>
      <c r="H24" s="637">
        <f t="shared" si="0"/>
        <v>295</v>
      </c>
      <c r="I24" s="808" t="s">
        <v>1196</v>
      </c>
    </row>
    <row r="25" spans="1:9" ht="36.9" customHeight="1">
      <c r="A25" s="807">
        <v>2.16</v>
      </c>
      <c r="B25" s="558" t="s">
        <v>1209</v>
      </c>
      <c r="C25" s="556" t="s">
        <v>1194</v>
      </c>
      <c r="D25" s="556" t="s">
        <v>1477</v>
      </c>
      <c r="E25" s="588" t="s">
        <v>1195</v>
      </c>
      <c r="F25" s="590">
        <v>99</v>
      </c>
      <c r="G25" s="589">
        <v>5</v>
      </c>
      <c r="H25" s="637">
        <f t="shared" si="0"/>
        <v>495</v>
      </c>
      <c r="I25" s="808" t="s">
        <v>1196</v>
      </c>
    </row>
    <row r="26" spans="1:9" ht="36.9" customHeight="1">
      <c r="A26" s="807">
        <v>2.17</v>
      </c>
      <c r="B26" s="558" t="s">
        <v>1210</v>
      </c>
      <c r="C26" s="556" t="s">
        <v>1194</v>
      </c>
      <c r="D26" s="556" t="s">
        <v>1477</v>
      </c>
      <c r="E26" s="588" t="s">
        <v>1195</v>
      </c>
      <c r="F26" s="590">
        <v>89</v>
      </c>
      <c r="G26" s="589">
        <v>5</v>
      </c>
      <c r="H26" s="637">
        <f t="shared" si="0"/>
        <v>445</v>
      </c>
      <c r="I26" s="808" t="s">
        <v>1196</v>
      </c>
    </row>
    <row r="27" spans="1:9" ht="36.9" customHeight="1">
      <c r="A27" s="807">
        <v>2.1800000000000002</v>
      </c>
      <c r="B27" s="558" t="s">
        <v>1211</v>
      </c>
      <c r="C27" s="556" t="s">
        <v>1194</v>
      </c>
      <c r="D27" s="556" t="s">
        <v>1477</v>
      </c>
      <c r="E27" s="588" t="s">
        <v>1195</v>
      </c>
      <c r="F27" s="590">
        <v>72</v>
      </c>
      <c r="G27" s="589">
        <v>5</v>
      </c>
      <c r="H27" s="637">
        <f t="shared" si="0"/>
        <v>360</v>
      </c>
      <c r="I27" s="808" t="s">
        <v>1196</v>
      </c>
    </row>
    <row r="28" spans="1:9" ht="36.9" customHeight="1">
      <c r="A28" s="807">
        <v>2.19</v>
      </c>
      <c r="B28" s="558" t="s">
        <v>1212</v>
      </c>
      <c r="C28" s="558" t="s">
        <v>1194</v>
      </c>
      <c r="D28" s="556" t="s">
        <v>1477</v>
      </c>
      <c r="E28" s="588" t="s">
        <v>1195</v>
      </c>
      <c r="F28" s="590">
        <v>249</v>
      </c>
      <c r="G28" s="589">
        <v>5</v>
      </c>
      <c r="H28" s="637">
        <f t="shared" si="0"/>
        <v>1245</v>
      </c>
      <c r="I28" s="808" t="s">
        <v>1196</v>
      </c>
    </row>
    <row r="29" spans="1:9" ht="36.9" customHeight="1">
      <c r="A29" s="809" t="s">
        <v>451</v>
      </c>
      <c r="B29" s="558" t="s">
        <v>1213</v>
      </c>
      <c r="C29" s="558" t="s">
        <v>1204</v>
      </c>
      <c r="D29" s="556" t="s">
        <v>1477</v>
      </c>
      <c r="E29" s="588" t="s">
        <v>1195</v>
      </c>
      <c r="F29" s="590">
        <v>89</v>
      </c>
      <c r="G29" s="589">
        <v>5</v>
      </c>
      <c r="H29" s="637">
        <f t="shared" si="0"/>
        <v>445</v>
      </c>
      <c r="I29" s="808" t="s">
        <v>1196</v>
      </c>
    </row>
    <row r="30" spans="1:9" ht="36.9" customHeight="1">
      <c r="A30" s="807">
        <v>2.21</v>
      </c>
      <c r="B30" s="558" t="s">
        <v>1214</v>
      </c>
      <c r="C30" s="558" t="s">
        <v>1194</v>
      </c>
      <c r="D30" s="556" t="s">
        <v>1477</v>
      </c>
      <c r="E30" s="588" t="s">
        <v>1195</v>
      </c>
      <c r="F30" s="590">
        <v>70</v>
      </c>
      <c r="G30" s="589">
        <v>5</v>
      </c>
      <c r="H30" s="637">
        <f t="shared" si="0"/>
        <v>350</v>
      </c>
      <c r="I30" s="808" t="s">
        <v>1196</v>
      </c>
    </row>
    <row r="31" spans="1:9" ht="36.9" customHeight="1">
      <c r="A31" s="807">
        <v>2.2200000000000002</v>
      </c>
      <c r="B31" s="558" t="s">
        <v>1215</v>
      </c>
      <c r="C31" s="558" t="s">
        <v>1204</v>
      </c>
      <c r="D31" s="556" t="s">
        <v>1477</v>
      </c>
      <c r="E31" s="588" t="s">
        <v>1195</v>
      </c>
      <c r="F31" s="591">
        <v>50</v>
      </c>
      <c r="G31" s="589">
        <v>5</v>
      </c>
      <c r="H31" s="637">
        <f t="shared" si="0"/>
        <v>250</v>
      </c>
      <c r="I31" s="808" t="s">
        <v>1196</v>
      </c>
    </row>
    <row r="32" spans="1:9" ht="36.9" customHeight="1">
      <c r="A32" s="807">
        <v>2.23</v>
      </c>
      <c r="B32" s="558" t="s">
        <v>1202</v>
      </c>
      <c r="C32" s="556" t="s">
        <v>1194</v>
      </c>
      <c r="D32" s="556" t="s">
        <v>1477</v>
      </c>
      <c r="E32" s="588" t="s">
        <v>1195</v>
      </c>
      <c r="F32" s="590">
        <v>146</v>
      </c>
      <c r="G32" s="589">
        <v>5</v>
      </c>
      <c r="H32" s="637">
        <f t="shared" si="0"/>
        <v>730</v>
      </c>
      <c r="I32" s="808" t="s">
        <v>1196</v>
      </c>
    </row>
    <row r="33" spans="1:9" ht="36.9" customHeight="1">
      <c r="A33" s="810">
        <v>2.2400000000000002</v>
      </c>
      <c r="B33" s="558" t="s">
        <v>1203</v>
      </c>
      <c r="C33" s="556" t="s">
        <v>1204</v>
      </c>
      <c r="D33" s="556" t="s">
        <v>1477</v>
      </c>
      <c r="E33" s="588" t="s">
        <v>1195</v>
      </c>
      <c r="F33" s="590">
        <v>231</v>
      </c>
      <c r="G33" s="589">
        <v>5</v>
      </c>
      <c r="H33" s="637">
        <f t="shared" si="0"/>
        <v>1155</v>
      </c>
      <c r="I33" s="808" t="s">
        <v>1196</v>
      </c>
    </row>
    <row r="34" spans="1:9" ht="36.9" customHeight="1">
      <c r="A34" s="810">
        <v>2.25</v>
      </c>
      <c r="B34" s="558" t="s">
        <v>1216</v>
      </c>
      <c r="C34" s="556" t="s">
        <v>1194</v>
      </c>
      <c r="D34" s="556" t="s">
        <v>1477</v>
      </c>
      <c r="E34" s="588" t="s">
        <v>1195</v>
      </c>
      <c r="F34" s="590">
        <v>150</v>
      </c>
      <c r="G34" s="589">
        <v>5</v>
      </c>
      <c r="H34" s="637">
        <f t="shared" si="0"/>
        <v>750</v>
      </c>
      <c r="I34" s="808" t="s">
        <v>1196</v>
      </c>
    </row>
    <row r="35" spans="1:9" ht="36.9" customHeight="1">
      <c r="A35" s="810">
        <v>2.2599999999999998</v>
      </c>
      <c r="B35" s="558" t="s">
        <v>1217</v>
      </c>
      <c r="C35" s="556" t="s">
        <v>1194</v>
      </c>
      <c r="D35" s="556" t="s">
        <v>1477</v>
      </c>
      <c r="E35" s="588" t="s">
        <v>1195</v>
      </c>
      <c r="F35" s="590">
        <v>150</v>
      </c>
      <c r="G35" s="589">
        <v>5</v>
      </c>
      <c r="H35" s="637">
        <f t="shared" si="0"/>
        <v>750</v>
      </c>
      <c r="I35" s="808" t="s">
        <v>1196</v>
      </c>
    </row>
    <row r="36" spans="1:9" ht="36.9" customHeight="1">
      <c r="A36" s="810">
        <v>2.27</v>
      </c>
      <c r="B36" s="558" t="s">
        <v>1218</v>
      </c>
      <c r="C36" s="556" t="s">
        <v>1219</v>
      </c>
      <c r="D36" s="556" t="s">
        <v>1477</v>
      </c>
      <c r="E36" s="588" t="s">
        <v>1195</v>
      </c>
      <c r="F36" s="590">
        <v>62</v>
      </c>
      <c r="G36" s="589">
        <v>5</v>
      </c>
      <c r="H36" s="637">
        <f t="shared" si="0"/>
        <v>310</v>
      </c>
      <c r="I36" s="808" t="s">
        <v>1196</v>
      </c>
    </row>
    <row r="37" spans="1:9" ht="25.75" customHeight="1">
      <c r="A37" s="810">
        <v>2.2799999999999998</v>
      </c>
      <c r="B37" s="1281" t="s">
        <v>1445</v>
      </c>
      <c r="C37" s="1282" t="s">
        <v>1194</v>
      </c>
      <c r="D37" s="556" t="s">
        <v>1477</v>
      </c>
      <c r="E37" s="1283" t="s">
        <v>1195</v>
      </c>
      <c r="F37" s="1284">
        <v>102</v>
      </c>
      <c r="G37" s="1284">
        <v>5</v>
      </c>
      <c r="H37" s="1285">
        <v>510</v>
      </c>
      <c r="I37" s="1286" t="s">
        <v>1196</v>
      </c>
    </row>
    <row r="38" spans="1:9" ht="24.65" customHeight="1">
      <c r="A38" s="810">
        <v>2.29</v>
      </c>
      <c r="B38" s="1281" t="s">
        <v>1446</v>
      </c>
      <c r="C38" s="1282" t="s">
        <v>1219</v>
      </c>
      <c r="D38" s="556" t="s">
        <v>1477</v>
      </c>
      <c r="E38" s="1283" t="s">
        <v>1195</v>
      </c>
      <c r="F38" s="1284">
        <v>28</v>
      </c>
      <c r="G38" s="1284">
        <v>5</v>
      </c>
      <c r="H38" s="1285">
        <v>140</v>
      </c>
      <c r="I38" s="1286" t="s">
        <v>1196</v>
      </c>
    </row>
    <row r="39" spans="1:9" ht="23.4" customHeight="1">
      <c r="A39" s="810">
        <v>2.2999999999999998</v>
      </c>
      <c r="B39" s="1281" t="s">
        <v>1447</v>
      </c>
      <c r="C39" s="1282" t="s">
        <v>1219</v>
      </c>
      <c r="D39" s="556" t="s">
        <v>1477</v>
      </c>
      <c r="E39" s="1283" t="s">
        <v>1195</v>
      </c>
      <c r="F39" s="1284">
        <v>35</v>
      </c>
      <c r="G39" s="1284">
        <v>5</v>
      </c>
      <c r="H39" s="1285">
        <v>175</v>
      </c>
      <c r="I39" s="1286" t="s">
        <v>1196</v>
      </c>
    </row>
    <row r="40" spans="1:9" ht="23.4" customHeight="1">
      <c r="A40" s="810">
        <v>2.31</v>
      </c>
      <c r="B40" s="1281" t="s">
        <v>1448</v>
      </c>
      <c r="C40" s="1282" t="s">
        <v>1194</v>
      </c>
      <c r="D40" s="556" t="s">
        <v>1477</v>
      </c>
      <c r="E40" s="1283" t="s">
        <v>1195</v>
      </c>
      <c r="F40" s="1284">
        <v>105</v>
      </c>
      <c r="G40" s="1284">
        <v>5</v>
      </c>
      <c r="H40" s="1285">
        <v>525</v>
      </c>
      <c r="I40" s="1286" t="s">
        <v>1196</v>
      </c>
    </row>
    <row r="41" spans="1:9" ht="21.65" customHeight="1">
      <c r="A41" s="810">
        <v>2.3199999999999998</v>
      </c>
      <c r="B41" s="1281" t="s">
        <v>842</v>
      </c>
      <c r="C41" s="1282" t="s">
        <v>1219</v>
      </c>
      <c r="D41" s="556" t="s">
        <v>1477</v>
      </c>
      <c r="E41" s="1283" t="s">
        <v>1195</v>
      </c>
      <c r="F41" s="1284">
        <v>71</v>
      </c>
      <c r="G41" s="1284">
        <v>5</v>
      </c>
      <c r="H41" s="1285">
        <v>355</v>
      </c>
      <c r="I41" s="1286" t="s">
        <v>1196</v>
      </c>
    </row>
    <row r="42" spans="1:9" ht="19.25" customHeight="1">
      <c r="A42" s="810">
        <v>2.33</v>
      </c>
      <c r="B42" s="1281" t="s">
        <v>1449</v>
      </c>
      <c r="C42" s="1282" t="s">
        <v>1198</v>
      </c>
      <c r="D42" s="556" t="s">
        <v>1477</v>
      </c>
      <c r="E42" s="1283" t="s">
        <v>1195</v>
      </c>
      <c r="F42" s="1284">
        <v>92</v>
      </c>
      <c r="G42" s="1284">
        <v>5</v>
      </c>
      <c r="H42" s="1285">
        <v>460</v>
      </c>
      <c r="I42" s="1286" t="s">
        <v>1196</v>
      </c>
    </row>
    <row r="43" spans="1:9" ht="22.25" customHeight="1">
      <c r="A43" s="810">
        <v>2.34</v>
      </c>
      <c r="B43" s="1281" t="s">
        <v>1450</v>
      </c>
      <c r="C43" s="1282" t="s">
        <v>1219</v>
      </c>
      <c r="D43" s="556" t="s">
        <v>1477</v>
      </c>
      <c r="E43" s="1283" t="s">
        <v>1195</v>
      </c>
      <c r="F43" s="1284">
        <v>80</v>
      </c>
      <c r="G43" s="1284">
        <v>5</v>
      </c>
      <c r="H43" s="1285">
        <v>400</v>
      </c>
      <c r="I43" s="1286" t="s">
        <v>1196</v>
      </c>
    </row>
    <row r="44" spans="1:9" ht="22.25" customHeight="1">
      <c r="A44" s="810">
        <v>2.35</v>
      </c>
      <c r="B44" s="1555" t="s">
        <v>1478</v>
      </c>
      <c r="C44" s="1291" t="s">
        <v>1219</v>
      </c>
      <c r="D44" s="556" t="s">
        <v>1477</v>
      </c>
      <c r="E44" s="1292" t="s">
        <v>1195</v>
      </c>
      <c r="F44" s="1293">
        <v>85</v>
      </c>
      <c r="G44" s="1293">
        <v>5</v>
      </c>
      <c r="H44" s="1285"/>
      <c r="I44" s="1286"/>
    </row>
    <row r="45" spans="1:9" ht="28.5" customHeight="1">
      <c r="A45" s="810">
        <v>2.36</v>
      </c>
      <c r="B45" s="1558" t="s">
        <v>1467</v>
      </c>
      <c r="C45" s="1291" t="s">
        <v>1219</v>
      </c>
      <c r="D45" s="556" t="s">
        <v>1477</v>
      </c>
      <c r="E45" s="1292" t="s">
        <v>1195</v>
      </c>
      <c r="F45" s="1293">
        <v>90</v>
      </c>
      <c r="G45" s="1293">
        <v>5</v>
      </c>
      <c r="H45" s="1285"/>
      <c r="I45" s="1286"/>
    </row>
    <row r="46" spans="1:9" ht="39" customHeight="1">
      <c r="A46" s="810">
        <v>2.37</v>
      </c>
      <c r="B46" s="1558" t="s">
        <v>1468</v>
      </c>
      <c r="C46" s="1291" t="s">
        <v>1219</v>
      </c>
      <c r="D46" s="556" t="s">
        <v>1477</v>
      </c>
      <c r="E46" s="1292" t="s">
        <v>1195</v>
      </c>
      <c r="F46" s="1293">
        <v>100</v>
      </c>
      <c r="G46" s="1293">
        <v>5</v>
      </c>
      <c r="H46" s="1285"/>
      <c r="I46" s="1286"/>
    </row>
    <row r="47" spans="1:9" ht="22.25" customHeight="1">
      <c r="A47" s="810">
        <v>2.38</v>
      </c>
      <c r="B47" s="1555" t="s">
        <v>1469</v>
      </c>
      <c r="C47" s="1291" t="s">
        <v>1219</v>
      </c>
      <c r="D47" s="556" t="s">
        <v>1477</v>
      </c>
      <c r="E47" s="1292" t="s">
        <v>1195</v>
      </c>
      <c r="F47" s="1293">
        <v>95</v>
      </c>
      <c r="G47" s="1293">
        <v>5</v>
      </c>
      <c r="H47" s="1285"/>
      <c r="I47" s="1286"/>
    </row>
    <row r="48" spans="1:9" ht="33" customHeight="1">
      <c r="A48" s="810">
        <v>2.39</v>
      </c>
      <c r="B48" s="1558" t="s">
        <v>1470</v>
      </c>
      <c r="C48" s="1291" t="s">
        <v>1219</v>
      </c>
      <c r="D48" s="556" t="s">
        <v>1477</v>
      </c>
      <c r="E48" s="1292" t="s">
        <v>1195</v>
      </c>
      <c r="F48" s="1293">
        <v>95</v>
      </c>
      <c r="G48" s="1293">
        <v>5</v>
      </c>
      <c r="H48" s="1285"/>
      <c r="I48" s="1286"/>
    </row>
    <row r="49" spans="1:10" ht="22.25" customHeight="1">
      <c r="A49" s="810">
        <v>2.4</v>
      </c>
      <c r="B49" s="1555" t="s">
        <v>1471</v>
      </c>
      <c r="C49" s="1291" t="s">
        <v>1219</v>
      </c>
      <c r="D49" s="556" t="s">
        <v>1477</v>
      </c>
      <c r="E49" s="1292" t="s">
        <v>1195</v>
      </c>
      <c r="F49" s="1293">
        <v>55</v>
      </c>
      <c r="G49" s="1293">
        <v>5</v>
      </c>
      <c r="H49" s="1285"/>
      <c r="I49" s="1286"/>
    </row>
    <row r="50" spans="1:10" ht="31" customHeight="1">
      <c r="A50" s="810">
        <v>2.41</v>
      </c>
      <c r="B50" s="1558" t="s">
        <v>1472</v>
      </c>
      <c r="C50" s="1291" t="s">
        <v>1219</v>
      </c>
      <c r="D50" s="556" t="s">
        <v>1477</v>
      </c>
      <c r="E50" s="1292" t="s">
        <v>1195</v>
      </c>
      <c r="F50" s="1293">
        <v>60</v>
      </c>
      <c r="G50" s="1293">
        <v>5</v>
      </c>
      <c r="H50" s="1285"/>
      <c r="I50" s="1286"/>
    </row>
    <row r="51" spans="1:10" ht="27.5" customHeight="1">
      <c r="A51" s="810">
        <v>2.42</v>
      </c>
      <c r="B51" s="1558" t="s">
        <v>1473</v>
      </c>
      <c r="C51" s="1291" t="s">
        <v>1219</v>
      </c>
      <c r="D51" s="556" t="s">
        <v>1477</v>
      </c>
      <c r="E51" s="1292" t="s">
        <v>1195</v>
      </c>
      <c r="F51" s="1293">
        <v>85</v>
      </c>
      <c r="G51" s="1293">
        <v>5</v>
      </c>
      <c r="H51" s="1285"/>
      <c r="I51" s="1286"/>
    </row>
    <row r="52" spans="1:10" ht="22.25" customHeight="1">
      <c r="A52" s="810">
        <v>2.4300000000000002</v>
      </c>
      <c r="B52" s="1556" t="s">
        <v>1474</v>
      </c>
      <c r="C52" s="1291" t="s">
        <v>1219</v>
      </c>
      <c r="D52" s="556" t="s">
        <v>1477</v>
      </c>
      <c r="E52" s="1292" t="s">
        <v>1195</v>
      </c>
      <c r="F52" s="1293">
        <v>80</v>
      </c>
      <c r="G52" s="1293">
        <v>5</v>
      </c>
      <c r="H52" s="1285"/>
      <c r="I52" s="1286"/>
    </row>
    <row r="53" spans="1:10" ht="28" customHeight="1">
      <c r="A53" s="810">
        <v>2.44</v>
      </c>
      <c r="B53" s="1557" t="s">
        <v>1466</v>
      </c>
      <c r="C53" s="1291" t="s">
        <v>1219</v>
      </c>
      <c r="D53" s="556" t="s">
        <v>1477</v>
      </c>
      <c r="E53" s="1292" t="s">
        <v>1195</v>
      </c>
      <c r="F53" s="1293">
        <v>140</v>
      </c>
      <c r="G53" s="1293">
        <v>5</v>
      </c>
      <c r="H53" s="1285"/>
      <c r="I53" s="1286"/>
    </row>
    <row r="54" spans="1:10" ht="30" customHeight="1">
      <c r="A54" s="810">
        <v>2.4500000000000002</v>
      </c>
      <c r="B54" s="1559" t="s">
        <v>1476</v>
      </c>
      <c r="C54" s="1291" t="s">
        <v>1219</v>
      </c>
      <c r="D54" s="556" t="s">
        <v>1477</v>
      </c>
      <c r="E54" s="1292" t="s">
        <v>1195</v>
      </c>
      <c r="F54" s="1293">
        <v>100</v>
      </c>
      <c r="G54" s="1293">
        <v>5</v>
      </c>
      <c r="H54" s="1285"/>
      <c r="I54" s="1286"/>
    </row>
    <row r="55" spans="1:10" ht="33" customHeight="1">
      <c r="A55" s="810">
        <v>2.46</v>
      </c>
      <c r="B55" s="1559" t="s">
        <v>1475</v>
      </c>
      <c r="C55" s="1291" t="s">
        <v>1219</v>
      </c>
      <c r="D55" s="556" t="s">
        <v>1477</v>
      </c>
      <c r="E55" s="1292" t="s">
        <v>1195</v>
      </c>
      <c r="F55" s="1293">
        <v>100</v>
      </c>
      <c r="G55" s="1293">
        <v>5</v>
      </c>
      <c r="H55" s="1285"/>
      <c r="I55" s="1286"/>
    </row>
    <row r="56" spans="1:10" ht="30.5" customHeight="1">
      <c r="A56" s="810">
        <v>2.4700000000000002</v>
      </c>
      <c r="B56" s="1559" t="s">
        <v>1479</v>
      </c>
      <c r="C56" s="1291" t="s">
        <v>1219</v>
      </c>
      <c r="D56" s="556" t="s">
        <v>1477</v>
      </c>
      <c r="E56" s="1292" t="s">
        <v>1195</v>
      </c>
      <c r="F56" s="1293">
        <v>90</v>
      </c>
      <c r="G56" s="1293"/>
      <c r="H56" s="1285"/>
      <c r="I56" s="1286"/>
    </row>
    <row r="57" spans="1:10" ht="30.5" customHeight="1">
      <c r="A57" s="810">
        <v>2.4700000000000002</v>
      </c>
      <c r="B57" s="1559" t="s">
        <v>1481</v>
      </c>
      <c r="C57" s="1291" t="s">
        <v>1219</v>
      </c>
      <c r="D57" s="556" t="s">
        <v>1477</v>
      </c>
      <c r="E57" s="1292" t="s">
        <v>1195</v>
      </c>
      <c r="F57" s="1293">
        <v>85</v>
      </c>
      <c r="G57" s="1293"/>
      <c r="H57" s="1285"/>
      <c r="I57" s="1286"/>
    </row>
    <row r="58" spans="1:10" ht="30.5" customHeight="1">
      <c r="A58" s="810">
        <v>2.48</v>
      </c>
      <c r="B58" s="1559" t="s">
        <v>1482</v>
      </c>
      <c r="C58" s="1291" t="s">
        <v>1219</v>
      </c>
      <c r="D58" s="556" t="s">
        <v>1477</v>
      </c>
      <c r="E58" s="1292" t="s">
        <v>1195</v>
      </c>
      <c r="F58" s="1293">
        <v>100</v>
      </c>
      <c r="G58" s="1293"/>
      <c r="H58" s="1285"/>
      <c r="I58" s="1286"/>
    </row>
    <row r="59" spans="1:10" ht="30.5" customHeight="1">
      <c r="A59" s="810">
        <v>2.4900000000000002</v>
      </c>
      <c r="B59" s="1559" t="s">
        <v>1483</v>
      </c>
      <c r="C59" s="1291" t="s">
        <v>1219</v>
      </c>
      <c r="D59" s="556" t="s">
        <v>1477</v>
      </c>
      <c r="E59" s="1292" t="s">
        <v>1195</v>
      </c>
      <c r="F59" s="1293">
        <v>63</v>
      </c>
      <c r="G59" s="1293"/>
      <c r="H59" s="1285"/>
      <c r="I59" s="1286"/>
    </row>
    <row r="60" spans="1:10" ht="29" customHeight="1">
      <c r="A60" s="810">
        <v>2.5</v>
      </c>
      <c r="B60" s="1281" t="s">
        <v>1480</v>
      </c>
      <c r="C60" s="1291" t="s">
        <v>1219</v>
      </c>
      <c r="D60" s="556" t="s">
        <v>1477</v>
      </c>
      <c r="E60" s="1292" t="s">
        <v>1195</v>
      </c>
      <c r="F60" s="1284">
        <v>80</v>
      </c>
      <c r="G60" s="1284"/>
      <c r="H60" s="1285"/>
      <c r="I60" s="1286"/>
    </row>
    <row r="61" spans="1:10" ht="21.9" customHeight="1">
      <c r="A61" s="806"/>
      <c r="B61" s="552" t="s">
        <v>283</v>
      </c>
      <c r="C61" s="559"/>
      <c r="D61" s="559"/>
      <c r="E61" s="587"/>
      <c r="F61" s="587"/>
      <c r="G61" s="587"/>
      <c r="H61" s="538">
        <f>SUM(H62:H64)</f>
        <v>36194</v>
      </c>
      <c r="I61" s="805"/>
    </row>
    <row r="62" spans="1:10" ht="21.9" customHeight="1">
      <c r="A62" s="806"/>
      <c r="B62" s="596" t="s">
        <v>1182</v>
      </c>
      <c r="C62" s="559"/>
      <c r="D62" s="559"/>
      <c r="E62" s="581">
        <v>69</v>
      </c>
      <c r="F62" s="581">
        <v>200</v>
      </c>
      <c r="G62" s="581"/>
      <c r="H62" s="583">
        <f>E62*F62</f>
        <v>13800</v>
      </c>
      <c r="I62" s="805"/>
      <c r="J62" s="584"/>
    </row>
    <row r="63" spans="1:10" ht="21.9" customHeight="1">
      <c r="A63" s="806"/>
      <c r="B63" s="559" t="s">
        <v>1183</v>
      </c>
      <c r="C63" s="559"/>
      <c r="D63" s="559"/>
      <c r="E63" s="582">
        <f>'Bieu 1a DH Chinh quy'!K8</f>
        <v>1597</v>
      </c>
      <c r="F63" s="581">
        <v>2</v>
      </c>
      <c r="G63" s="581"/>
      <c r="H63" s="583">
        <f>F63*E63</f>
        <v>3194</v>
      </c>
      <c r="I63" s="805"/>
    </row>
    <row r="64" spans="1:10" ht="21.9" customHeight="1">
      <c r="A64" s="806"/>
      <c r="B64" s="559" t="s">
        <v>1184</v>
      </c>
      <c r="C64" s="559"/>
      <c r="D64" s="559"/>
      <c r="E64" s="582">
        <v>64</v>
      </c>
      <c r="F64" s="581">
        <v>300</v>
      </c>
      <c r="G64" s="581"/>
      <c r="H64" s="583">
        <f>F64*E64</f>
        <v>19200</v>
      </c>
      <c r="I64" s="805"/>
    </row>
    <row r="65" spans="1:9" s="597" customFormat="1" ht="21.9" customHeight="1">
      <c r="A65" s="806">
        <v>4</v>
      </c>
      <c r="B65" s="552" t="s">
        <v>284</v>
      </c>
      <c r="C65" s="559"/>
      <c r="D65" s="559"/>
      <c r="E65" s="592"/>
      <c r="F65" s="592"/>
      <c r="G65" s="592"/>
      <c r="H65" s="638">
        <f>SUM(H66:H70)</f>
        <v>47000</v>
      </c>
      <c r="I65" s="811"/>
    </row>
    <row r="66" spans="1:9" s="597" customFormat="1" ht="21.9" customHeight="1">
      <c r="A66" s="806"/>
      <c r="B66" s="559" t="s">
        <v>1180</v>
      </c>
      <c r="C66" s="559"/>
      <c r="D66" s="559"/>
      <c r="E66" s="592">
        <v>8</v>
      </c>
      <c r="F66" s="592">
        <v>2000</v>
      </c>
      <c r="G66" s="592"/>
      <c r="H66" s="593">
        <f>F66*E66</f>
        <v>16000</v>
      </c>
      <c r="I66" s="811"/>
    </row>
    <row r="67" spans="1:9" s="597" customFormat="1" ht="21.9" customHeight="1">
      <c r="A67" s="806"/>
      <c r="B67" s="559" t="s">
        <v>1181</v>
      </c>
      <c r="C67" s="559"/>
      <c r="D67" s="559"/>
      <c r="E67" s="592">
        <v>8</v>
      </c>
      <c r="F67" s="592">
        <v>1000</v>
      </c>
      <c r="G67" s="592"/>
      <c r="H67" s="593">
        <f t="shared" ref="H67:H70" si="1">F67*E67</f>
        <v>8000</v>
      </c>
      <c r="I67" s="811"/>
    </row>
    <row r="68" spans="1:9" s="597" customFormat="1" ht="21.9" customHeight="1">
      <c r="A68" s="806"/>
      <c r="B68" s="559" t="s">
        <v>1185</v>
      </c>
      <c r="C68" s="559"/>
      <c r="D68" s="559"/>
      <c r="E68" s="592">
        <v>30</v>
      </c>
      <c r="F68" s="592">
        <v>200</v>
      </c>
      <c r="G68" s="592"/>
      <c r="H68" s="593">
        <f t="shared" si="1"/>
        <v>6000</v>
      </c>
      <c r="I68" s="811"/>
    </row>
    <row r="69" spans="1:9" s="597" customFormat="1" ht="21.9" customHeight="1">
      <c r="A69" s="806"/>
      <c r="B69" s="559" t="s">
        <v>1186</v>
      </c>
      <c r="C69" s="559"/>
      <c r="D69" s="559"/>
      <c r="E69" s="592">
        <v>10</v>
      </c>
      <c r="F69" s="592">
        <v>100</v>
      </c>
      <c r="G69" s="592"/>
      <c r="H69" s="593">
        <f t="shared" si="1"/>
        <v>1000</v>
      </c>
      <c r="I69" s="811"/>
    </row>
    <row r="70" spans="1:9" s="597" customFormat="1" ht="21.9" customHeight="1">
      <c r="A70" s="806"/>
      <c r="B70" s="559" t="s">
        <v>1187</v>
      </c>
      <c r="C70" s="559"/>
      <c r="D70" s="559"/>
      <c r="E70" s="592">
        <v>8</v>
      </c>
      <c r="F70" s="592">
        <v>2000</v>
      </c>
      <c r="G70" s="592"/>
      <c r="H70" s="593">
        <f t="shared" si="1"/>
        <v>16000</v>
      </c>
      <c r="I70" s="811"/>
    </row>
    <row r="71" spans="1:9" s="598" customFormat="1" ht="21.9" customHeight="1">
      <c r="A71" s="804">
        <v>5</v>
      </c>
      <c r="B71" s="552" t="s">
        <v>285</v>
      </c>
      <c r="C71" s="552"/>
      <c r="D71" s="552"/>
      <c r="E71" s="594"/>
      <c r="F71" s="594"/>
      <c r="G71" s="594"/>
      <c r="H71" s="638"/>
      <c r="I71" s="812"/>
    </row>
    <row r="72" spans="1:9" s="597" customFormat="1" ht="21.9" customHeight="1">
      <c r="A72" s="813"/>
      <c r="B72" s="548"/>
      <c r="C72" s="548"/>
      <c r="D72" s="548"/>
      <c r="E72" s="548"/>
      <c r="F72" s="548"/>
      <c r="G72" s="548"/>
      <c r="H72" s="593"/>
      <c r="I72" s="811"/>
    </row>
    <row r="73" spans="1:9" s="99" customFormat="1" ht="18" customHeight="1" thickBot="1">
      <c r="A73" s="1419" t="s">
        <v>271</v>
      </c>
      <c r="B73" s="1420"/>
      <c r="C73" s="814"/>
      <c r="D73" s="814"/>
      <c r="E73" s="815"/>
      <c r="F73" s="815"/>
      <c r="G73" s="815"/>
      <c r="H73" s="816">
        <f>H65+H61+H9+H6</f>
        <v>124574</v>
      </c>
      <c r="I73" s="817"/>
    </row>
    <row r="74" spans="1:9">
      <c r="A74" s="90"/>
      <c r="B74" s="91"/>
      <c r="C74" s="91"/>
      <c r="D74" s="91"/>
      <c r="E74" s="91"/>
      <c r="F74" s="91"/>
      <c r="G74" s="91"/>
      <c r="H74" s="91"/>
      <c r="I74" s="92"/>
    </row>
    <row r="75" spans="1:9" ht="15" customHeight="1">
      <c r="A75" s="70"/>
      <c r="B75" s="70"/>
      <c r="C75" s="70"/>
      <c r="D75" s="70"/>
      <c r="E75" s="70"/>
      <c r="F75" s="481"/>
      <c r="G75" s="1423" t="s">
        <v>286</v>
      </c>
      <c r="H75" s="1423"/>
      <c r="I75" s="1423"/>
    </row>
    <row r="76" spans="1:9" ht="15" customHeight="1">
      <c r="A76" s="1422"/>
      <c r="B76" s="1422"/>
      <c r="C76" s="484"/>
      <c r="D76" s="484"/>
      <c r="E76" s="484"/>
      <c r="F76" s="484"/>
      <c r="G76" s="1297" t="s">
        <v>1427</v>
      </c>
      <c r="H76" s="1297"/>
      <c r="I76" s="1297"/>
    </row>
    <row r="77" spans="1:9">
      <c r="A77" s="70"/>
      <c r="B77" s="70"/>
      <c r="C77" s="70"/>
      <c r="D77" s="70"/>
      <c r="E77" s="70"/>
      <c r="F77" s="91"/>
      <c r="G77" s="91"/>
      <c r="H77" s="91"/>
      <c r="I77" s="90"/>
    </row>
    <row r="78" spans="1:9">
      <c r="A78" s="90"/>
      <c r="B78" s="91"/>
      <c r="C78" s="91"/>
      <c r="D78" s="91"/>
      <c r="E78" s="91"/>
      <c r="F78" s="91"/>
      <c r="G78" s="91"/>
      <c r="H78" s="91"/>
      <c r="I78" s="96"/>
    </row>
    <row r="79" spans="1:9">
      <c r="A79" s="90"/>
      <c r="B79" s="91"/>
      <c r="C79" s="91"/>
      <c r="D79" s="91"/>
      <c r="E79" s="91"/>
      <c r="F79" s="91"/>
      <c r="G79" s="91"/>
      <c r="H79" s="91"/>
      <c r="I79" s="96"/>
    </row>
    <row r="80" spans="1:9">
      <c r="A80" s="90"/>
      <c r="B80" s="91"/>
      <c r="C80" s="91"/>
      <c r="D80" s="91"/>
      <c r="E80" s="91"/>
      <c r="F80" s="91"/>
      <c r="G80" s="91"/>
      <c r="H80" s="91"/>
      <c r="I80" s="96"/>
    </row>
    <row r="81" spans="1:9" ht="13.5" customHeight="1">
      <c r="A81" s="90"/>
      <c r="B81" s="91"/>
      <c r="C81" s="91"/>
      <c r="D81" s="91"/>
      <c r="E81" s="91"/>
      <c r="F81" s="91"/>
      <c r="G81" s="1297" t="s">
        <v>1428</v>
      </c>
      <c r="H81" s="1297"/>
      <c r="I81" s="1297"/>
    </row>
    <row r="82" spans="1:9">
      <c r="A82" s="90"/>
      <c r="B82" s="91"/>
      <c r="C82" s="91"/>
      <c r="D82" s="91"/>
      <c r="E82" s="91"/>
      <c r="F82" s="91"/>
      <c r="G82" s="91"/>
      <c r="H82" s="91"/>
      <c r="I82" s="96"/>
    </row>
    <row r="83" spans="1:9">
      <c r="A83" s="90"/>
      <c r="B83" s="91"/>
      <c r="C83" s="91"/>
      <c r="D83" s="91"/>
      <c r="E83" s="91"/>
      <c r="F83" s="91"/>
      <c r="G83" s="91"/>
      <c r="H83" s="91"/>
      <c r="I83" s="96"/>
    </row>
    <row r="84" spans="1:9">
      <c r="A84" s="90"/>
      <c r="B84" s="91"/>
      <c r="C84" s="91"/>
      <c r="D84" s="91"/>
      <c r="E84" s="91"/>
      <c r="F84" s="91"/>
      <c r="G84" s="91"/>
      <c r="H84" s="91"/>
      <c r="I84" s="96"/>
    </row>
    <row r="85" spans="1:9">
      <c r="A85" s="90"/>
      <c r="B85" s="91"/>
      <c r="C85" s="91"/>
      <c r="D85" s="91"/>
      <c r="E85" s="91"/>
      <c r="F85" s="91"/>
      <c r="G85" s="91"/>
      <c r="H85" s="91"/>
      <c r="I85" s="96"/>
    </row>
    <row r="86" spans="1:9">
      <c r="A86" s="90"/>
      <c r="B86" s="91"/>
      <c r="C86" s="91"/>
      <c r="D86" s="91"/>
      <c r="E86" s="91"/>
      <c r="F86" s="91"/>
      <c r="G86" s="91"/>
      <c r="H86" s="91"/>
      <c r="I86" s="96"/>
    </row>
    <row r="87" spans="1:9">
      <c r="A87" s="90"/>
      <c r="B87" s="91"/>
      <c r="C87" s="91"/>
      <c r="D87" s="91"/>
      <c r="E87" s="91"/>
      <c r="F87" s="91"/>
      <c r="G87" s="91"/>
      <c r="H87" s="91"/>
      <c r="I87" s="96"/>
    </row>
    <row r="88" spans="1:9">
      <c r="A88" s="90"/>
      <c r="B88" s="91"/>
      <c r="C88" s="91"/>
      <c r="D88" s="91"/>
      <c r="E88" s="91"/>
      <c r="F88" s="91"/>
      <c r="G88" s="91"/>
      <c r="H88" s="91"/>
      <c r="I88" s="96"/>
    </row>
    <row r="89" spans="1:9">
      <c r="A89" s="90"/>
      <c r="B89" s="91"/>
      <c r="C89" s="91"/>
      <c r="D89" s="91"/>
      <c r="E89" s="91"/>
      <c r="F89" s="91"/>
      <c r="G89" s="91"/>
      <c r="H89" s="91"/>
      <c r="I89" s="96"/>
    </row>
    <row r="90" spans="1:9">
      <c r="A90" s="90"/>
      <c r="B90" s="91"/>
      <c r="C90" s="91"/>
      <c r="D90" s="91"/>
      <c r="E90" s="91"/>
      <c r="F90" s="91"/>
      <c r="G90" s="91"/>
      <c r="H90" s="91"/>
      <c r="I90" s="96"/>
    </row>
    <row r="91" spans="1:9">
      <c r="A91" s="90"/>
      <c r="B91" s="91"/>
      <c r="C91" s="91"/>
      <c r="D91" s="91"/>
      <c r="E91" s="91"/>
      <c r="F91" s="91"/>
      <c r="G91" s="91"/>
      <c r="H91" s="91"/>
      <c r="I91" s="96"/>
    </row>
    <row r="92" spans="1:9">
      <c r="A92" s="90"/>
      <c r="B92" s="91"/>
      <c r="C92" s="91"/>
      <c r="D92" s="91"/>
      <c r="E92" s="91"/>
      <c r="F92" s="91"/>
      <c r="G92" s="91"/>
      <c r="H92" s="91"/>
      <c r="I92" s="96"/>
    </row>
    <row r="93" spans="1:9">
      <c r="A93" s="90"/>
      <c r="B93" s="91"/>
      <c r="C93" s="91"/>
      <c r="D93" s="91"/>
      <c r="E93" s="91"/>
      <c r="F93" s="91"/>
      <c r="G93" s="91"/>
      <c r="H93" s="91"/>
      <c r="I93" s="96"/>
    </row>
    <row r="94" spans="1:9">
      <c r="A94" s="90"/>
      <c r="B94" s="91"/>
      <c r="C94" s="91"/>
      <c r="D94" s="91"/>
      <c r="E94" s="91"/>
      <c r="F94" s="91"/>
      <c r="G94" s="91"/>
      <c r="H94" s="91"/>
      <c r="I94" s="96"/>
    </row>
    <row r="95" spans="1:9">
      <c r="A95" s="90"/>
      <c r="B95" s="91"/>
      <c r="C95" s="91"/>
      <c r="D95" s="91"/>
      <c r="E95" s="91"/>
      <c r="F95" s="91"/>
      <c r="G95" s="91"/>
      <c r="H95" s="91"/>
      <c r="I95" s="96"/>
    </row>
    <row r="96" spans="1:9">
      <c r="A96" s="90"/>
      <c r="B96" s="91"/>
      <c r="C96" s="91"/>
      <c r="D96" s="91"/>
      <c r="E96" s="91"/>
      <c r="F96" s="91"/>
      <c r="G96" s="91"/>
      <c r="H96" s="91"/>
      <c r="I96" s="96"/>
    </row>
    <row r="97" spans="1:9">
      <c r="A97" s="90"/>
      <c r="B97" s="91"/>
      <c r="C97" s="91"/>
      <c r="D97" s="91"/>
      <c r="E97" s="91"/>
      <c r="F97" s="91"/>
      <c r="G97" s="91"/>
      <c r="H97" s="91"/>
      <c r="I97" s="96"/>
    </row>
    <row r="98" spans="1:9">
      <c r="A98" s="90"/>
      <c r="B98" s="91"/>
      <c r="C98" s="91"/>
      <c r="D98" s="91"/>
      <c r="E98" s="91"/>
      <c r="F98" s="91"/>
      <c r="G98" s="91"/>
      <c r="H98" s="91"/>
      <c r="I98" s="96"/>
    </row>
    <row r="99" spans="1:9">
      <c r="A99" s="90"/>
      <c r="B99" s="91"/>
      <c r="C99" s="91"/>
      <c r="D99" s="91"/>
      <c r="E99" s="91"/>
      <c r="F99" s="91"/>
      <c r="G99" s="91"/>
      <c r="H99" s="91"/>
      <c r="I99" s="96"/>
    </row>
    <row r="100" spans="1:9">
      <c r="A100" s="90"/>
      <c r="B100" s="91"/>
      <c r="C100" s="91"/>
      <c r="D100" s="91"/>
      <c r="E100" s="91"/>
      <c r="F100" s="91"/>
      <c r="G100" s="91"/>
      <c r="H100" s="91"/>
      <c r="I100" s="96"/>
    </row>
    <row r="101" spans="1:9">
      <c r="A101" s="90"/>
      <c r="B101" s="91"/>
      <c r="C101" s="91"/>
      <c r="D101" s="91"/>
      <c r="E101" s="91"/>
      <c r="F101" s="91"/>
      <c r="G101" s="91"/>
      <c r="H101" s="91"/>
      <c r="I101" s="96"/>
    </row>
    <row r="102" spans="1:9">
      <c r="A102" s="90"/>
      <c r="B102" s="91"/>
      <c r="C102" s="91"/>
      <c r="D102" s="91"/>
      <c r="E102" s="91"/>
      <c r="F102" s="91"/>
      <c r="G102" s="91"/>
      <c r="H102" s="91"/>
      <c r="I102" s="96"/>
    </row>
    <row r="103" spans="1:9">
      <c r="A103" s="97"/>
      <c r="B103" s="98"/>
      <c r="C103" s="98"/>
      <c r="D103" s="98"/>
      <c r="E103" s="98"/>
      <c r="F103" s="98"/>
      <c r="G103" s="98"/>
      <c r="H103" s="98"/>
      <c r="I103" s="99"/>
    </row>
  </sheetData>
  <mergeCells count="9">
    <mergeCell ref="G81:I81"/>
    <mergeCell ref="E2:I2"/>
    <mergeCell ref="A3:I3"/>
    <mergeCell ref="A73:B73"/>
    <mergeCell ref="A1:C1"/>
    <mergeCell ref="A2:C2"/>
    <mergeCell ref="A76:B76"/>
    <mergeCell ref="G75:I75"/>
    <mergeCell ref="G76:I76"/>
  </mergeCells>
  <pageMargins left="0" right="0" top="0" bottom="0" header="0" footer="0"/>
  <pageSetup paperSize="9" fitToHeight="0" orientation="landscape" r:id="rId1"/>
  <ignoredErrors>
    <ignoredError sqref="H65"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S75"/>
  <sheetViews>
    <sheetView topLeftCell="A64" zoomScale="88" zoomScaleNormal="88" workbookViewId="0">
      <selection activeCell="H70" sqref="H70"/>
    </sheetView>
  </sheetViews>
  <sheetFormatPr defaultColWidth="9.08203125" defaultRowHeight="13"/>
  <cols>
    <col min="1" max="1" width="4.9140625" style="249" customWidth="1"/>
    <col min="2" max="2" width="20.9140625" style="249" customWidth="1"/>
    <col min="3" max="3" width="9.4140625" style="249" customWidth="1"/>
    <col min="4" max="4" width="7.08203125" style="249" customWidth="1"/>
    <col min="5" max="5" width="8.9140625" style="249" customWidth="1"/>
    <col min="6" max="6" width="6.4140625" style="249" customWidth="1"/>
    <col min="7" max="7" width="19.08203125" style="249" customWidth="1"/>
    <col min="8" max="8" width="17.08203125" style="249" customWidth="1"/>
    <col min="9" max="9" width="10.9140625" style="249" customWidth="1"/>
    <col min="10" max="10" width="11.9140625" style="249" customWidth="1"/>
    <col min="11" max="11" width="13.9140625" style="249" customWidth="1"/>
    <col min="12" max="12" width="11.08203125" style="249" customWidth="1"/>
    <col min="13" max="13" width="12.9140625" style="249" customWidth="1"/>
    <col min="14" max="14" width="9.9140625" style="249" customWidth="1"/>
    <col min="15" max="16384" width="9.08203125" style="249"/>
  </cols>
  <sheetData>
    <row r="2" spans="1:14" ht="15" customHeight="1"/>
    <row r="3" spans="1:14" ht="18">
      <c r="A3" s="1479" t="s">
        <v>0</v>
      </c>
      <c r="B3" s="1479"/>
      <c r="C3" s="1479"/>
      <c r="D3" s="1479"/>
      <c r="E3" s="1479"/>
      <c r="F3" s="1479"/>
      <c r="G3" s="1424" t="s">
        <v>525</v>
      </c>
      <c r="H3" s="1424"/>
      <c r="I3" s="1424"/>
      <c r="J3" s="1424"/>
      <c r="K3" s="1424"/>
      <c r="L3" s="1424"/>
      <c r="M3" s="1424"/>
      <c r="N3" s="251"/>
    </row>
    <row r="4" spans="1:14" ht="17.5">
      <c r="A4" s="1480" t="s">
        <v>808</v>
      </c>
      <c r="B4" s="1480"/>
      <c r="C4" s="1480"/>
      <c r="D4" s="1480"/>
      <c r="E4" s="1480"/>
      <c r="F4" s="1480"/>
      <c r="G4" s="1424" t="s">
        <v>526</v>
      </c>
      <c r="H4" s="1424"/>
      <c r="I4" s="1424"/>
      <c r="J4" s="1424"/>
      <c r="K4" s="1424"/>
      <c r="L4" s="1424"/>
      <c r="M4" s="1424"/>
      <c r="N4" s="250" t="s">
        <v>287</v>
      </c>
    </row>
    <row r="5" spans="1:14" ht="14.25" customHeight="1"/>
    <row r="6" spans="1:14" ht="23.4" customHeight="1">
      <c r="A6" s="1425" t="s">
        <v>527</v>
      </c>
      <c r="B6" s="1425"/>
      <c r="C6" s="1425"/>
      <c r="D6" s="1425"/>
      <c r="E6" s="1425"/>
      <c r="F6" s="1425"/>
      <c r="G6" s="1425"/>
      <c r="H6" s="1425"/>
      <c r="I6" s="1425"/>
      <c r="J6" s="1425"/>
      <c r="K6" s="1425"/>
      <c r="L6" s="1425"/>
      <c r="M6" s="1425"/>
      <c r="N6" s="1425"/>
    </row>
    <row r="8" spans="1:14" s="258" customFormat="1" ht="24.75" customHeight="1">
      <c r="A8" s="257">
        <v>1</v>
      </c>
      <c r="B8" s="1426" t="s">
        <v>529</v>
      </c>
      <c r="C8" s="1427"/>
      <c r="D8" s="1427"/>
      <c r="E8" s="1427"/>
      <c r="F8" s="1427"/>
      <c r="G8" s="1427"/>
      <c r="H8" s="1427"/>
      <c r="I8" s="1427"/>
      <c r="J8" s="1427"/>
      <c r="K8" s="1427"/>
      <c r="L8" s="1427"/>
      <c r="M8" s="1427"/>
      <c r="N8" s="1428"/>
    </row>
    <row r="9" spans="1:14" s="252" customFormat="1" ht="51.75" customHeight="1">
      <c r="A9" s="259" t="s">
        <v>307</v>
      </c>
      <c r="B9" s="1429" t="s">
        <v>528</v>
      </c>
      <c r="C9" s="1430"/>
      <c r="D9" s="1123" t="s">
        <v>69</v>
      </c>
      <c r="E9" s="1431" t="s">
        <v>530</v>
      </c>
      <c r="F9" s="1432"/>
      <c r="G9" s="1429" t="s">
        <v>531</v>
      </c>
      <c r="H9" s="1433"/>
      <c r="I9" s="1430"/>
      <c r="J9" s="1429" t="s">
        <v>532</v>
      </c>
      <c r="K9" s="1433"/>
      <c r="L9" s="1430"/>
      <c r="M9" s="1431" t="s">
        <v>16</v>
      </c>
      <c r="N9" s="1432"/>
    </row>
    <row r="10" spans="1:14" s="252" customFormat="1" ht="22.5" customHeight="1">
      <c r="A10" s="490">
        <v>1</v>
      </c>
      <c r="B10" s="1440" t="s">
        <v>877</v>
      </c>
      <c r="C10" s="1441"/>
      <c r="D10" s="254">
        <v>1</v>
      </c>
      <c r="E10" s="1442" t="s">
        <v>1220</v>
      </c>
      <c r="F10" s="1443"/>
      <c r="G10" s="1442" t="s">
        <v>1221</v>
      </c>
      <c r="H10" s="1444"/>
      <c r="I10" s="1443"/>
      <c r="J10" s="1442" t="s">
        <v>1138</v>
      </c>
      <c r="K10" s="1444"/>
      <c r="L10" s="1443"/>
      <c r="M10" s="1445"/>
      <c r="N10" s="1446"/>
    </row>
    <row r="11" spans="1:14" s="252" customFormat="1" ht="22.5" customHeight="1">
      <c r="A11" s="599">
        <v>2</v>
      </c>
      <c r="B11" s="1447" t="s">
        <v>744</v>
      </c>
      <c r="C11" s="1448"/>
      <c r="D11" s="600"/>
      <c r="E11" s="1449"/>
      <c r="F11" s="1450"/>
      <c r="G11" s="1449"/>
      <c r="H11" s="1451"/>
      <c r="I11" s="1450"/>
      <c r="J11" s="1452"/>
      <c r="K11" s="1453"/>
      <c r="L11" s="1454"/>
      <c r="M11" s="1449"/>
      <c r="N11" s="1450"/>
    </row>
    <row r="12" spans="1:14" s="252" customFormat="1" ht="17.25" customHeight="1">
      <c r="A12" s="489">
        <v>3</v>
      </c>
      <c r="B12" s="1447" t="s">
        <v>1135</v>
      </c>
      <c r="C12" s="1448"/>
      <c r="D12" s="254"/>
      <c r="E12" s="1452"/>
      <c r="F12" s="1454"/>
      <c r="G12" s="1449"/>
      <c r="H12" s="1451"/>
      <c r="I12" s="1450"/>
      <c r="J12" s="1452"/>
      <c r="K12" s="1453"/>
      <c r="L12" s="1454"/>
      <c r="M12" s="1449"/>
      <c r="N12" s="1450"/>
    </row>
    <row r="13" spans="1:14" s="252" customFormat="1" ht="17.25" customHeight="1">
      <c r="A13" s="489">
        <v>4</v>
      </c>
      <c r="B13" s="1455" t="s">
        <v>879</v>
      </c>
      <c r="C13" s="1456"/>
      <c r="D13" s="254"/>
      <c r="E13" s="1449"/>
      <c r="F13" s="1450"/>
      <c r="G13" s="1449"/>
      <c r="H13" s="1451"/>
      <c r="I13" s="1450"/>
      <c r="J13" s="1452"/>
      <c r="K13" s="1453"/>
      <c r="L13" s="1454"/>
      <c r="M13" s="1449"/>
      <c r="N13" s="1450"/>
    </row>
    <row r="14" spans="1:14" s="252" customFormat="1" ht="20.25" customHeight="1">
      <c r="A14" s="260"/>
      <c r="B14" s="1434" t="s">
        <v>271</v>
      </c>
      <c r="C14" s="1435"/>
      <c r="D14" s="1241" t="s">
        <v>1442</v>
      </c>
      <c r="E14" s="1434"/>
      <c r="F14" s="1435"/>
      <c r="G14" s="1434"/>
      <c r="H14" s="1436"/>
      <c r="I14" s="1435"/>
      <c r="J14" s="1437"/>
      <c r="K14" s="1438"/>
      <c r="L14" s="1439"/>
      <c r="M14" s="1434"/>
      <c r="N14" s="1435"/>
    </row>
    <row r="15" spans="1:14" s="258" customFormat="1" ht="25.4" customHeight="1">
      <c r="A15" s="261">
        <v>2</v>
      </c>
      <c r="B15" s="1459" t="s">
        <v>533</v>
      </c>
      <c r="C15" s="1460"/>
      <c r="D15" s="1460"/>
      <c r="E15" s="1460"/>
      <c r="F15" s="1460"/>
      <c r="G15" s="1460"/>
      <c r="H15" s="1460"/>
      <c r="I15" s="1460"/>
      <c r="J15" s="1460"/>
      <c r="K15" s="1460"/>
      <c r="L15" s="1460"/>
      <c r="M15" s="1460"/>
      <c r="N15" s="1461"/>
    </row>
    <row r="16" spans="1:14" s="252" customFormat="1" ht="25.5" customHeight="1">
      <c r="A16" s="1462" t="s">
        <v>307</v>
      </c>
      <c r="B16" s="1464" t="s">
        <v>188</v>
      </c>
      <c r="C16" s="1465"/>
      <c r="D16" s="1429" t="s">
        <v>534</v>
      </c>
      <c r="E16" s="1430"/>
      <c r="F16" s="1462" t="s">
        <v>535</v>
      </c>
      <c r="G16" s="1462" t="s">
        <v>536</v>
      </c>
      <c r="H16" s="1462" t="s">
        <v>537</v>
      </c>
      <c r="I16" s="1462" t="s">
        <v>189</v>
      </c>
      <c r="J16" s="1462" t="s">
        <v>289</v>
      </c>
      <c r="K16" s="1462" t="s">
        <v>530</v>
      </c>
      <c r="L16" s="1462" t="s">
        <v>538</v>
      </c>
      <c r="M16" s="1464" t="s">
        <v>16</v>
      </c>
      <c r="N16" s="1465"/>
    </row>
    <row r="17" spans="1:19" s="252" customFormat="1" ht="32.15" customHeight="1">
      <c r="A17" s="1463"/>
      <c r="B17" s="1466"/>
      <c r="C17" s="1467"/>
      <c r="D17" s="1123" t="s">
        <v>539</v>
      </c>
      <c r="E17" s="1123" t="s">
        <v>540</v>
      </c>
      <c r="F17" s="1463"/>
      <c r="G17" s="1463"/>
      <c r="H17" s="1463"/>
      <c r="I17" s="1463"/>
      <c r="J17" s="1463"/>
      <c r="K17" s="1463"/>
      <c r="L17" s="1463"/>
      <c r="M17" s="1466"/>
      <c r="N17" s="1467"/>
    </row>
    <row r="18" spans="1:19" s="252" customFormat="1" ht="29.4" customHeight="1">
      <c r="A18" s="1128">
        <v>1</v>
      </c>
      <c r="B18" s="262" t="s">
        <v>1222</v>
      </c>
      <c r="C18" s="1124" t="s">
        <v>1223</v>
      </c>
      <c r="D18" s="263">
        <v>1962</v>
      </c>
      <c r="E18" s="485"/>
      <c r="F18" s="264" t="s">
        <v>571</v>
      </c>
      <c r="G18" s="264" t="s">
        <v>1224</v>
      </c>
      <c r="H18" s="264" t="s">
        <v>1225</v>
      </c>
      <c r="I18" s="264" t="s">
        <v>1116</v>
      </c>
      <c r="J18" s="264" t="s">
        <v>1226</v>
      </c>
      <c r="K18" s="264" t="s">
        <v>1227</v>
      </c>
      <c r="L18" s="601" t="s">
        <v>1228</v>
      </c>
      <c r="M18" s="1457" t="s">
        <v>542</v>
      </c>
      <c r="N18" s="1458"/>
    </row>
    <row r="19" spans="1:19" s="252" customFormat="1" ht="29.9" customHeight="1">
      <c r="A19" s="1128">
        <v>2</v>
      </c>
      <c r="B19" s="262" t="s">
        <v>1229</v>
      </c>
      <c r="C19" s="1124" t="s">
        <v>1230</v>
      </c>
      <c r="D19" s="263">
        <v>1958</v>
      </c>
      <c r="E19" s="485"/>
      <c r="F19" s="264" t="s">
        <v>571</v>
      </c>
      <c r="G19" s="264" t="s">
        <v>1231</v>
      </c>
      <c r="H19" s="264" t="s">
        <v>1232</v>
      </c>
      <c r="I19" s="264" t="s">
        <v>1116</v>
      </c>
      <c r="J19" s="264"/>
      <c r="K19" s="264" t="s">
        <v>1227</v>
      </c>
      <c r="L19" s="1129" t="s">
        <v>1233</v>
      </c>
      <c r="M19" s="1457" t="s">
        <v>542</v>
      </c>
      <c r="N19" s="1458"/>
    </row>
    <row r="20" spans="1:19" s="258" customFormat="1" ht="22.5" customHeight="1">
      <c r="A20" s="267">
        <v>3</v>
      </c>
      <c r="B20" s="1459" t="s">
        <v>543</v>
      </c>
      <c r="C20" s="1460"/>
      <c r="D20" s="1460"/>
      <c r="E20" s="1460"/>
      <c r="F20" s="1460"/>
      <c r="G20" s="1460"/>
      <c r="H20" s="1460"/>
      <c r="I20" s="1460"/>
      <c r="J20" s="1460"/>
      <c r="K20" s="1460"/>
      <c r="L20" s="1460"/>
      <c r="M20" s="1460"/>
      <c r="N20" s="1461"/>
    </row>
    <row r="21" spans="1:19" s="252" customFormat="1" ht="24" customHeight="1">
      <c r="A21" s="1462" t="s">
        <v>307</v>
      </c>
      <c r="B21" s="1464" t="s">
        <v>188</v>
      </c>
      <c r="C21" s="1465"/>
      <c r="D21" s="1429" t="s">
        <v>534</v>
      </c>
      <c r="E21" s="1430"/>
      <c r="F21" s="1462" t="s">
        <v>535</v>
      </c>
      <c r="G21" s="1462" t="s">
        <v>536</v>
      </c>
      <c r="H21" s="1462" t="s">
        <v>537</v>
      </c>
      <c r="I21" s="1462" t="s">
        <v>189</v>
      </c>
      <c r="J21" s="1462" t="s">
        <v>289</v>
      </c>
      <c r="K21" s="1462" t="s">
        <v>530</v>
      </c>
      <c r="L21" s="1462" t="s">
        <v>544</v>
      </c>
      <c r="M21" s="1464" t="s">
        <v>16</v>
      </c>
      <c r="N21" s="1465"/>
    </row>
    <row r="22" spans="1:19" s="252" customFormat="1" ht="22.5" customHeight="1">
      <c r="A22" s="1463"/>
      <c r="B22" s="1487"/>
      <c r="C22" s="1488"/>
      <c r="D22" s="1123" t="s">
        <v>539</v>
      </c>
      <c r="E22" s="1123" t="s">
        <v>540</v>
      </c>
      <c r="F22" s="1463"/>
      <c r="G22" s="1463"/>
      <c r="H22" s="1463"/>
      <c r="I22" s="1463"/>
      <c r="J22" s="1463"/>
      <c r="K22" s="1463"/>
      <c r="L22" s="1463"/>
      <c r="M22" s="1466"/>
      <c r="N22" s="1467"/>
    </row>
    <row r="23" spans="1:19" s="252" customFormat="1" ht="22.5" customHeight="1">
      <c r="A23" s="1128">
        <v>1</v>
      </c>
      <c r="B23" s="265" t="s">
        <v>1234</v>
      </c>
      <c r="C23" s="1125" t="s">
        <v>1235</v>
      </c>
      <c r="D23" s="488"/>
      <c r="E23" s="256">
        <v>1991</v>
      </c>
      <c r="F23" s="488" t="s">
        <v>571</v>
      </c>
      <c r="G23" s="488" t="s">
        <v>878</v>
      </c>
      <c r="H23" s="488" t="s">
        <v>1236</v>
      </c>
      <c r="I23" s="1129" t="s">
        <v>1011</v>
      </c>
      <c r="J23" s="488"/>
      <c r="K23" s="488" t="s">
        <v>1220</v>
      </c>
      <c r="L23" s="488" t="s">
        <v>1237</v>
      </c>
      <c r="M23" s="1457" t="s">
        <v>545</v>
      </c>
      <c r="N23" s="1458"/>
    </row>
    <row r="24" spans="1:19" s="258" customFormat="1" ht="22.5" customHeight="1">
      <c r="A24" s="256">
        <v>2</v>
      </c>
      <c r="B24" s="265" t="s">
        <v>1238</v>
      </c>
      <c r="C24" s="1125" t="s">
        <v>1239</v>
      </c>
      <c r="E24" s="256">
        <v>1988</v>
      </c>
      <c r="F24" s="488" t="s">
        <v>571</v>
      </c>
      <c r="G24" s="488" t="s">
        <v>878</v>
      </c>
      <c r="H24" s="488" t="s">
        <v>1236</v>
      </c>
      <c r="I24" s="1129" t="s">
        <v>1011</v>
      </c>
      <c r="J24" s="488"/>
      <c r="K24" s="488" t="s">
        <v>1240</v>
      </c>
      <c r="L24" s="488" t="s">
        <v>1237</v>
      </c>
      <c r="M24" s="1457" t="s">
        <v>545</v>
      </c>
      <c r="N24" s="1458"/>
    </row>
    <row r="25" spans="1:19" s="258" customFormat="1" ht="22.5" customHeight="1">
      <c r="A25" s="1128">
        <v>3</v>
      </c>
      <c r="B25" s="265" t="s">
        <v>1241</v>
      </c>
      <c r="C25" s="1125" t="s">
        <v>1242</v>
      </c>
      <c r="D25" s="266"/>
      <c r="E25" s="256">
        <v>1987</v>
      </c>
      <c r="F25" s="488" t="s">
        <v>571</v>
      </c>
      <c r="G25" s="488" t="s">
        <v>878</v>
      </c>
      <c r="H25" s="488" t="s">
        <v>1236</v>
      </c>
      <c r="I25" s="1129" t="s">
        <v>1011</v>
      </c>
      <c r="J25" s="488"/>
      <c r="K25" s="488" t="s">
        <v>1240</v>
      </c>
      <c r="L25" s="488" t="s">
        <v>1237</v>
      </c>
      <c r="M25" s="1457" t="s">
        <v>545</v>
      </c>
      <c r="N25" s="1458"/>
    </row>
    <row r="26" spans="1:19" s="258" customFormat="1" ht="22.5" customHeight="1">
      <c r="A26" s="256">
        <v>4</v>
      </c>
      <c r="B26" s="1168" t="s">
        <v>1417</v>
      </c>
      <c r="C26" s="1169" t="s">
        <v>1260</v>
      </c>
      <c r="D26" s="1170"/>
      <c r="E26" s="1167"/>
      <c r="F26" s="1171" t="s">
        <v>571</v>
      </c>
      <c r="G26" s="1171" t="s">
        <v>1416</v>
      </c>
      <c r="H26" s="1171" t="s">
        <v>855</v>
      </c>
      <c r="I26" s="1129" t="s">
        <v>1011</v>
      </c>
      <c r="J26" s="1171"/>
      <c r="K26" s="488" t="s">
        <v>556</v>
      </c>
      <c r="L26" s="488" t="s">
        <v>1237</v>
      </c>
      <c r="M26" s="1457" t="s">
        <v>545</v>
      </c>
      <c r="N26" s="1458"/>
    </row>
    <row r="27" spans="1:19" s="252" customFormat="1" ht="22.5" customHeight="1">
      <c r="A27" s="1128">
        <v>5</v>
      </c>
      <c r="B27" s="262" t="s">
        <v>1243</v>
      </c>
      <c r="C27" s="1124" t="s">
        <v>1244</v>
      </c>
      <c r="D27" s="1129"/>
      <c r="E27" s="1128">
        <v>1984</v>
      </c>
      <c r="F27" s="1129" t="s">
        <v>571</v>
      </c>
      <c r="G27" s="1129" t="s">
        <v>1224</v>
      </c>
      <c r="H27" s="1129" t="s">
        <v>1245</v>
      </c>
      <c r="I27" s="1129" t="s">
        <v>1011</v>
      </c>
      <c r="J27" s="1129"/>
      <c r="K27" s="488" t="s">
        <v>1240</v>
      </c>
      <c r="L27" s="1129" t="s">
        <v>1237</v>
      </c>
      <c r="M27" s="1457" t="s">
        <v>545</v>
      </c>
      <c r="N27" s="1458"/>
    </row>
    <row r="28" spans="1:19" s="258" customFormat="1" ht="22.5" customHeight="1">
      <c r="A28" s="267">
        <v>4</v>
      </c>
      <c r="B28" s="1459" t="s">
        <v>546</v>
      </c>
      <c r="C28" s="1460"/>
      <c r="D28" s="1460"/>
      <c r="E28" s="1460"/>
      <c r="F28" s="1460"/>
      <c r="G28" s="1460"/>
      <c r="H28" s="1460"/>
      <c r="I28" s="1460"/>
      <c r="J28" s="1460"/>
      <c r="K28" s="1460"/>
      <c r="L28" s="1460"/>
      <c r="M28" s="1460"/>
      <c r="N28" s="1461"/>
      <c r="S28" s="258" t="s">
        <v>1418</v>
      </c>
    </row>
    <row r="29" spans="1:19" s="252" customFormat="1" ht="22.5" customHeight="1">
      <c r="A29" s="1462" t="s">
        <v>307</v>
      </c>
      <c r="B29" s="1464" t="s">
        <v>188</v>
      </c>
      <c r="C29" s="1465"/>
      <c r="D29" s="1429" t="s">
        <v>534</v>
      </c>
      <c r="E29" s="1430"/>
      <c r="F29" s="1462" t="s">
        <v>535</v>
      </c>
      <c r="G29" s="1462" t="s">
        <v>547</v>
      </c>
      <c r="H29" s="1462" t="s">
        <v>548</v>
      </c>
      <c r="I29" s="1429" t="s">
        <v>549</v>
      </c>
      <c r="J29" s="1433"/>
      <c r="K29" s="1430"/>
      <c r="L29" s="1474" t="s">
        <v>550</v>
      </c>
      <c r="M29" s="1462" t="s">
        <v>551</v>
      </c>
      <c r="N29" s="1462" t="s">
        <v>16</v>
      </c>
    </row>
    <row r="30" spans="1:19" s="252" customFormat="1" ht="45.65" customHeight="1">
      <c r="A30" s="1463"/>
      <c r="B30" s="1468"/>
      <c r="C30" s="1469"/>
      <c r="D30" s="1123" t="s">
        <v>539</v>
      </c>
      <c r="E30" s="1123" t="s">
        <v>540</v>
      </c>
      <c r="F30" s="1463"/>
      <c r="G30" s="1463"/>
      <c r="H30" s="1463"/>
      <c r="I30" s="1123" t="s">
        <v>552</v>
      </c>
      <c r="J30" s="1123" t="s">
        <v>553</v>
      </c>
      <c r="K30" s="1123" t="s">
        <v>554</v>
      </c>
      <c r="L30" s="1475"/>
      <c r="M30" s="1463"/>
      <c r="N30" s="1463"/>
    </row>
    <row r="31" spans="1:19" s="252" customFormat="1" ht="28.4" customHeight="1">
      <c r="A31" s="1172">
        <v>1</v>
      </c>
      <c r="B31" s="1175" t="s">
        <v>1419</v>
      </c>
      <c r="C31" s="1173" t="s">
        <v>1281</v>
      </c>
      <c r="D31" s="1169" t="s">
        <v>539</v>
      </c>
      <c r="E31" s="1167"/>
      <c r="F31" s="1167" t="s">
        <v>571</v>
      </c>
      <c r="G31" s="1167"/>
      <c r="H31" s="1167" t="s">
        <v>1420</v>
      </c>
      <c r="I31" s="1167"/>
      <c r="J31" s="603" t="s">
        <v>557</v>
      </c>
      <c r="K31" s="1167"/>
      <c r="L31" s="1174">
        <v>2022</v>
      </c>
      <c r="M31" s="1167"/>
      <c r="N31" s="1167"/>
    </row>
    <row r="32" spans="1:19" s="252" customFormat="1" ht="29.4" customHeight="1">
      <c r="A32" s="615">
        <v>2</v>
      </c>
      <c r="B32" s="616" t="s">
        <v>1246</v>
      </c>
      <c r="C32" s="617" t="s">
        <v>1247</v>
      </c>
      <c r="D32" s="602">
        <v>1989</v>
      </c>
      <c r="E32" s="603"/>
      <c r="F32" s="604" t="s">
        <v>571</v>
      </c>
      <c r="G32" s="603" t="s">
        <v>1248</v>
      </c>
      <c r="H32" s="605" t="s">
        <v>555</v>
      </c>
      <c r="I32" s="603"/>
      <c r="J32" s="603" t="s">
        <v>557</v>
      </c>
      <c r="K32" s="603"/>
      <c r="L32" s="605">
        <v>2022</v>
      </c>
      <c r="M32" s="603"/>
      <c r="N32" s="603"/>
    </row>
    <row r="33" spans="1:14" s="253" customFormat="1" ht="29.15" customHeight="1">
      <c r="A33" s="1172">
        <v>3</v>
      </c>
      <c r="B33" s="618" t="s">
        <v>1249</v>
      </c>
      <c r="C33" s="619" t="s">
        <v>1250</v>
      </c>
      <c r="D33" s="1124"/>
      <c r="E33" s="1128">
        <v>1988</v>
      </c>
      <c r="F33" s="1129" t="s">
        <v>571</v>
      </c>
      <c r="G33" s="1128" t="s">
        <v>1251</v>
      </c>
      <c r="H33" s="1128" t="s">
        <v>555</v>
      </c>
      <c r="I33" s="1128"/>
      <c r="J33" s="255" t="s">
        <v>557</v>
      </c>
      <c r="K33" s="1128"/>
      <c r="L33" s="1128" t="s">
        <v>1252</v>
      </c>
      <c r="M33" s="1128"/>
      <c r="N33" s="255" t="s">
        <v>558</v>
      </c>
    </row>
    <row r="34" spans="1:14" s="253" customFormat="1" ht="27" customHeight="1">
      <c r="A34" s="615">
        <v>4</v>
      </c>
      <c r="B34" s="618" t="s">
        <v>1253</v>
      </c>
      <c r="C34" s="619" t="s">
        <v>1239</v>
      </c>
      <c r="D34" s="1124"/>
      <c r="E34" s="1128">
        <v>1992</v>
      </c>
      <c r="F34" s="1129" t="s">
        <v>571</v>
      </c>
      <c r="G34" s="1128" t="s">
        <v>1251</v>
      </c>
      <c r="H34" s="1128" t="s">
        <v>555</v>
      </c>
      <c r="I34" s="1128"/>
      <c r="J34" s="1128" t="s">
        <v>557</v>
      </c>
      <c r="K34" s="1128"/>
      <c r="L34" s="1128" t="s">
        <v>1254</v>
      </c>
      <c r="M34" s="1128"/>
      <c r="N34" s="255" t="s">
        <v>558</v>
      </c>
    </row>
    <row r="35" spans="1:14" s="253" customFormat="1" ht="27" customHeight="1">
      <c r="A35" s="1172">
        <v>5</v>
      </c>
      <c r="B35" s="618" t="s">
        <v>1255</v>
      </c>
      <c r="C35" s="619" t="s">
        <v>1256</v>
      </c>
      <c r="D35" s="1124"/>
      <c r="E35" s="1128">
        <v>1988</v>
      </c>
      <c r="F35" s="1129" t="s">
        <v>571</v>
      </c>
      <c r="G35" s="1128" t="s">
        <v>1257</v>
      </c>
      <c r="H35" s="1128" t="s">
        <v>555</v>
      </c>
      <c r="I35" s="1128"/>
      <c r="J35" s="606" t="s">
        <v>557</v>
      </c>
      <c r="K35" s="1128"/>
      <c r="L35" s="1128" t="s">
        <v>1258</v>
      </c>
      <c r="M35" s="1128"/>
      <c r="N35" s="255"/>
    </row>
    <row r="36" spans="1:14" s="253" customFormat="1" ht="29.15" customHeight="1">
      <c r="A36" s="615">
        <v>6</v>
      </c>
      <c r="B36" s="618" t="s">
        <v>1259</v>
      </c>
      <c r="C36" s="619" t="s">
        <v>1260</v>
      </c>
      <c r="D36" s="1124"/>
      <c r="E36" s="1128">
        <v>1988</v>
      </c>
      <c r="F36" s="1129" t="s">
        <v>571</v>
      </c>
      <c r="G36" s="1128" t="s">
        <v>855</v>
      </c>
      <c r="H36" s="1128" t="s">
        <v>555</v>
      </c>
      <c r="I36" s="1128"/>
      <c r="J36" s="255" t="s">
        <v>557</v>
      </c>
      <c r="K36" s="1128"/>
      <c r="L36" s="1128" t="s">
        <v>1261</v>
      </c>
      <c r="M36" s="1128"/>
      <c r="N36" s="255" t="s">
        <v>558</v>
      </c>
    </row>
    <row r="37" spans="1:14" s="253" customFormat="1" ht="29.15" customHeight="1">
      <c r="A37" s="1172">
        <v>7</v>
      </c>
      <c r="B37" s="1163" t="s">
        <v>1270</v>
      </c>
      <c r="C37" s="1164" t="s">
        <v>1414</v>
      </c>
      <c r="D37" s="1165">
        <v>1986</v>
      </c>
      <c r="E37" s="1166"/>
      <c r="F37" s="1160" t="s">
        <v>571</v>
      </c>
      <c r="G37" s="1166" t="s">
        <v>1304</v>
      </c>
      <c r="H37" s="1166" t="s">
        <v>561</v>
      </c>
      <c r="I37" s="1166"/>
      <c r="J37" s="1166" t="s">
        <v>557</v>
      </c>
      <c r="K37" s="1166"/>
      <c r="L37" s="1166" t="s">
        <v>1415</v>
      </c>
      <c r="M37" s="1166"/>
      <c r="N37" s="255"/>
    </row>
    <row r="38" spans="1:14" s="253" customFormat="1" ht="29.15" customHeight="1">
      <c r="A38" s="615">
        <v>8</v>
      </c>
      <c r="B38" s="618" t="s">
        <v>1270</v>
      </c>
      <c r="C38" s="619" t="s">
        <v>1271</v>
      </c>
      <c r="D38" s="1124">
        <v>1978</v>
      </c>
      <c r="E38" s="1128"/>
      <c r="F38" s="1128" t="s">
        <v>571</v>
      </c>
      <c r="G38" s="603" t="s">
        <v>560</v>
      </c>
      <c r="H38" s="1128" t="s">
        <v>561</v>
      </c>
      <c r="I38" s="1128"/>
      <c r="J38" s="1128" t="s">
        <v>563</v>
      </c>
      <c r="K38" s="1128"/>
      <c r="L38" s="1128" t="s">
        <v>1272</v>
      </c>
      <c r="M38" s="1166"/>
      <c r="N38" s="255"/>
    </row>
    <row r="39" spans="1:14" s="253" customFormat="1" ht="20.25" customHeight="1">
      <c r="A39" s="1172">
        <v>9</v>
      </c>
      <c r="B39" s="618" t="s">
        <v>1262</v>
      </c>
      <c r="C39" s="619" t="s">
        <v>1263</v>
      </c>
      <c r="D39" s="607"/>
      <c r="E39" s="606">
        <v>1988</v>
      </c>
      <c r="F39" s="1129" t="s">
        <v>571</v>
      </c>
      <c r="G39" s="606" t="s">
        <v>560</v>
      </c>
      <c r="H39" s="606" t="s">
        <v>562</v>
      </c>
      <c r="I39" s="606"/>
      <c r="J39" s="606" t="s">
        <v>563</v>
      </c>
      <c r="K39" s="606"/>
      <c r="L39" s="608">
        <v>2022</v>
      </c>
      <c r="M39" s="606"/>
      <c r="N39" s="255"/>
    </row>
    <row r="40" spans="1:14" s="253" customFormat="1" ht="20.25" customHeight="1">
      <c r="A40" s="615">
        <v>10</v>
      </c>
      <c r="B40" s="618" t="s">
        <v>1264</v>
      </c>
      <c r="C40" s="619" t="s">
        <v>1265</v>
      </c>
      <c r="D40" s="269"/>
      <c r="E40" s="255">
        <v>1983</v>
      </c>
      <c r="F40" s="1129" t="s">
        <v>571</v>
      </c>
      <c r="G40" s="255" t="s">
        <v>560</v>
      </c>
      <c r="H40" s="255" t="s">
        <v>562</v>
      </c>
      <c r="I40" s="255"/>
      <c r="J40" s="255" t="s">
        <v>563</v>
      </c>
      <c r="K40" s="255"/>
      <c r="L40" s="608">
        <v>2022</v>
      </c>
      <c r="M40" s="255"/>
      <c r="N40" s="486"/>
    </row>
    <row r="41" spans="1:14" s="252" customFormat="1" ht="22.5" customHeight="1">
      <c r="A41" s="1172">
        <v>11</v>
      </c>
      <c r="B41" s="616" t="s">
        <v>1266</v>
      </c>
      <c r="C41" s="617" t="s">
        <v>1256</v>
      </c>
      <c r="D41" s="602"/>
      <c r="E41" s="603">
        <v>1988</v>
      </c>
      <c r="F41" s="609" t="s">
        <v>571</v>
      </c>
      <c r="G41" s="603" t="s">
        <v>560</v>
      </c>
      <c r="H41" s="608" t="s">
        <v>562</v>
      </c>
      <c r="I41" s="603"/>
      <c r="J41" s="603" t="s">
        <v>563</v>
      </c>
      <c r="K41" s="603"/>
      <c r="L41" s="608">
        <v>2022</v>
      </c>
      <c r="M41" s="603"/>
      <c r="N41" s="603"/>
    </row>
    <row r="42" spans="1:14" s="258" customFormat="1" ht="22.5" customHeight="1">
      <c r="A42" s="615">
        <v>12</v>
      </c>
      <c r="B42" s="616" t="s">
        <v>1267</v>
      </c>
      <c r="C42" s="617" t="s">
        <v>1268</v>
      </c>
      <c r="D42" s="602"/>
      <c r="E42" s="603">
        <v>1986</v>
      </c>
      <c r="F42" s="609" t="s">
        <v>571</v>
      </c>
      <c r="G42" s="603" t="s">
        <v>560</v>
      </c>
      <c r="H42" s="608" t="s">
        <v>562</v>
      </c>
      <c r="I42" s="603"/>
      <c r="J42" s="603" t="s">
        <v>563</v>
      </c>
      <c r="K42" s="603"/>
      <c r="L42" s="608">
        <v>2022</v>
      </c>
      <c r="M42" s="603"/>
      <c r="N42" s="603"/>
    </row>
    <row r="43" spans="1:14" s="252" customFormat="1" ht="24" customHeight="1">
      <c r="A43" s="1172">
        <v>13</v>
      </c>
      <c r="B43" s="616" t="s">
        <v>541</v>
      </c>
      <c r="C43" s="617" t="s">
        <v>1269</v>
      </c>
      <c r="D43" s="602">
        <v>1974</v>
      </c>
      <c r="E43" s="603"/>
      <c r="F43" s="610" t="s">
        <v>571</v>
      </c>
      <c r="G43" s="603" t="s">
        <v>560</v>
      </c>
      <c r="H43" s="603" t="s">
        <v>562</v>
      </c>
      <c r="I43" s="603"/>
      <c r="J43" s="603" t="s">
        <v>563</v>
      </c>
      <c r="K43" s="603"/>
      <c r="L43" s="603">
        <v>2022</v>
      </c>
      <c r="M43" s="603"/>
      <c r="N43" s="611"/>
    </row>
    <row r="44" spans="1:14" s="253" customFormat="1" ht="24.65" customHeight="1">
      <c r="A44" s="1466" t="s">
        <v>271</v>
      </c>
      <c r="B44" s="1489"/>
      <c r="C44" s="1489"/>
      <c r="D44" s="1489"/>
      <c r="E44" s="1489"/>
      <c r="F44" s="1489"/>
      <c r="G44" s="1489"/>
      <c r="H44" s="1467"/>
      <c r="I44" s="1243"/>
      <c r="J44" s="1243">
        <v>13</v>
      </c>
      <c r="K44" s="1243"/>
      <c r="L44" s="256"/>
      <c r="M44" s="256"/>
      <c r="N44" s="256"/>
    </row>
    <row r="45" spans="1:14" s="258" customFormat="1" ht="21.75" customHeight="1">
      <c r="A45" s="267">
        <v>5</v>
      </c>
      <c r="B45" s="1459" t="s">
        <v>564</v>
      </c>
      <c r="C45" s="1460"/>
      <c r="D45" s="1460"/>
      <c r="E45" s="1460"/>
      <c r="F45" s="1460"/>
      <c r="G45" s="1460"/>
      <c r="H45" s="1460"/>
      <c r="I45" s="1460"/>
      <c r="J45" s="1460"/>
      <c r="K45" s="1460"/>
      <c r="L45" s="1460"/>
      <c r="M45" s="1460"/>
      <c r="N45" s="1461"/>
    </row>
    <row r="46" spans="1:14" s="252" customFormat="1" ht="20.25" customHeight="1">
      <c r="A46" s="1462" t="s">
        <v>307</v>
      </c>
      <c r="B46" s="1464" t="s">
        <v>188</v>
      </c>
      <c r="C46" s="1465"/>
      <c r="D46" s="1429" t="s">
        <v>534</v>
      </c>
      <c r="E46" s="1430"/>
      <c r="F46" s="1462" t="s">
        <v>535</v>
      </c>
      <c r="G46" s="1462" t="s">
        <v>565</v>
      </c>
      <c r="H46" s="1462" t="s">
        <v>566</v>
      </c>
      <c r="I46" s="1429" t="s">
        <v>567</v>
      </c>
      <c r="J46" s="1433"/>
      <c r="K46" s="1430"/>
      <c r="L46" s="1462" t="s">
        <v>568</v>
      </c>
      <c r="M46" s="1462" t="s">
        <v>569</v>
      </c>
      <c r="N46" s="1462" t="s">
        <v>16</v>
      </c>
    </row>
    <row r="47" spans="1:14" s="252" customFormat="1" ht="35.15" customHeight="1">
      <c r="A47" s="1463"/>
      <c r="B47" s="1466"/>
      <c r="C47" s="1467"/>
      <c r="D47" s="1123" t="s">
        <v>539</v>
      </c>
      <c r="E47" s="1123" t="s">
        <v>540</v>
      </c>
      <c r="F47" s="1463"/>
      <c r="G47" s="1463"/>
      <c r="H47" s="1463"/>
      <c r="I47" s="1123" t="s">
        <v>570</v>
      </c>
      <c r="J47" s="1123" t="s">
        <v>553</v>
      </c>
      <c r="K47" s="1123" t="s">
        <v>554</v>
      </c>
      <c r="L47" s="1463"/>
      <c r="M47" s="1463"/>
      <c r="N47" s="1463"/>
    </row>
    <row r="48" spans="1:14" s="252" customFormat="1" ht="51" customHeight="1">
      <c r="A48" s="1128">
        <v>1</v>
      </c>
      <c r="B48" s="262" t="s">
        <v>1273</v>
      </c>
      <c r="C48" s="1124" t="s">
        <v>1274</v>
      </c>
      <c r="D48" s="1128"/>
      <c r="E48" s="1128">
        <v>1992</v>
      </c>
      <c r="F48" s="1129" t="s">
        <v>571</v>
      </c>
      <c r="G48" s="1128" t="s">
        <v>572</v>
      </c>
      <c r="H48" s="1128"/>
      <c r="I48" s="1128" t="s">
        <v>552</v>
      </c>
      <c r="J48" s="1128"/>
      <c r="K48" s="1128"/>
      <c r="L48" s="1128" t="s">
        <v>1275</v>
      </c>
      <c r="M48" s="1128"/>
      <c r="N48" s="1128"/>
    </row>
    <row r="49" spans="1:14" s="253" customFormat="1" ht="50.4" customHeight="1">
      <c r="A49" s="255">
        <v>2</v>
      </c>
      <c r="B49" s="268" t="s">
        <v>1010</v>
      </c>
      <c r="C49" s="269" t="s">
        <v>1276</v>
      </c>
      <c r="D49" s="487"/>
      <c r="E49" s="487">
        <v>1988</v>
      </c>
      <c r="F49" s="487" t="s">
        <v>571</v>
      </c>
      <c r="G49" s="255" t="s">
        <v>572</v>
      </c>
      <c r="H49" s="255"/>
      <c r="I49" s="1128" t="s">
        <v>552</v>
      </c>
      <c r="J49" s="255"/>
      <c r="K49" s="255"/>
      <c r="L49" s="255" t="s">
        <v>1275</v>
      </c>
      <c r="M49" s="255"/>
      <c r="N49" s="255"/>
    </row>
    <row r="50" spans="1:14" s="252" customFormat="1" ht="45" customHeight="1">
      <c r="A50" s="612">
        <v>3</v>
      </c>
      <c r="B50" s="613" t="s">
        <v>1277</v>
      </c>
      <c r="C50" s="614" t="s">
        <v>1263</v>
      </c>
      <c r="D50" s="612"/>
      <c r="E50" s="612">
        <v>1988</v>
      </c>
      <c r="F50" s="1129" t="s">
        <v>571</v>
      </c>
      <c r="G50" s="255" t="s">
        <v>572</v>
      </c>
      <c r="H50" s="1128"/>
      <c r="I50" s="1128" t="s">
        <v>552</v>
      </c>
      <c r="J50" s="1126"/>
      <c r="K50" s="1126"/>
      <c r="L50" s="1128" t="s">
        <v>1275</v>
      </c>
      <c r="M50" s="1126"/>
      <c r="N50" s="1126"/>
    </row>
    <row r="51" spans="1:14" s="253" customFormat="1" ht="46.4" customHeight="1">
      <c r="A51" s="1128">
        <v>4</v>
      </c>
      <c r="B51" s="262" t="s">
        <v>1278</v>
      </c>
      <c r="C51" s="1124" t="s">
        <v>1279</v>
      </c>
      <c r="D51" s="1128"/>
      <c r="E51" s="1128">
        <v>1987</v>
      </c>
      <c r="F51" s="1129" t="s">
        <v>571</v>
      </c>
      <c r="G51" s="255" t="s">
        <v>572</v>
      </c>
      <c r="H51" s="1128"/>
      <c r="I51" s="1128" t="s">
        <v>552</v>
      </c>
      <c r="J51" s="1128"/>
      <c r="K51" s="1128"/>
      <c r="L51" s="1128" t="s">
        <v>1275</v>
      </c>
      <c r="M51" s="1128"/>
      <c r="N51" s="1128"/>
    </row>
    <row r="52" spans="1:14" s="253" customFormat="1" ht="20.149999999999999" customHeight="1">
      <c r="A52" s="1476" t="s">
        <v>271</v>
      </c>
      <c r="B52" s="1477"/>
      <c r="C52" s="1477"/>
      <c r="D52" s="1477"/>
      <c r="E52" s="1477"/>
      <c r="F52" s="1477"/>
      <c r="G52" s="1477"/>
      <c r="H52" s="1478"/>
      <c r="I52" s="1242" t="s">
        <v>1440</v>
      </c>
      <c r="J52" s="1243"/>
      <c r="K52" s="1243"/>
      <c r="L52" s="256"/>
      <c r="M52" s="256"/>
      <c r="N52" s="1127"/>
    </row>
    <row r="53" spans="1:14" s="258" customFormat="1" ht="26.15" customHeight="1">
      <c r="A53" s="267">
        <v>6</v>
      </c>
      <c r="B53" s="1459" t="s">
        <v>573</v>
      </c>
      <c r="C53" s="1460"/>
      <c r="D53" s="1460"/>
      <c r="E53" s="1460"/>
      <c r="F53" s="1460"/>
      <c r="G53" s="1460"/>
      <c r="H53" s="1460"/>
      <c r="I53" s="1460"/>
      <c r="J53" s="1460"/>
      <c r="K53" s="1460"/>
      <c r="L53" s="1460"/>
      <c r="M53" s="1460"/>
      <c r="N53" s="1461"/>
    </row>
    <row r="54" spans="1:14" s="252" customFormat="1" ht="15.65" customHeight="1">
      <c r="A54" s="1462" t="s">
        <v>307</v>
      </c>
      <c r="B54" s="1464" t="s">
        <v>188</v>
      </c>
      <c r="C54" s="1465"/>
      <c r="D54" s="1429" t="s">
        <v>534</v>
      </c>
      <c r="E54" s="1430"/>
      <c r="F54" s="1462" t="s">
        <v>535</v>
      </c>
      <c r="G54" s="1462" t="s">
        <v>574</v>
      </c>
      <c r="H54" s="1462" t="s">
        <v>575</v>
      </c>
      <c r="I54" s="1429" t="s">
        <v>576</v>
      </c>
      <c r="J54" s="1433"/>
      <c r="K54" s="1430"/>
      <c r="L54" s="1462" t="s">
        <v>568</v>
      </c>
      <c r="M54" s="1462" t="s">
        <v>569</v>
      </c>
      <c r="N54" s="1462" t="s">
        <v>16</v>
      </c>
    </row>
    <row r="55" spans="1:14" s="252" customFormat="1" ht="45" customHeight="1">
      <c r="A55" s="1463"/>
      <c r="B55" s="1466"/>
      <c r="C55" s="1467"/>
      <c r="D55" s="1123" t="s">
        <v>539</v>
      </c>
      <c r="E55" s="1123" t="s">
        <v>540</v>
      </c>
      <c r="F55" s="1463"/>
      <c r="G55" s="1463"/>
      <c r="H55" s="1463"/>
      <c r="I55" s="1123" t="s">
        <v>570</v>
      </c>
      <c r="J55" s="1123" t="s">
        <v>553</v>
      </c>
      <c r="K55" s="1123" t="s">
        <v>554</v>
      </c>
      <c r="L55" s="1463"/>
      <c r="M55" s="1463"/>
      <c r="N55" s="1463"/>
    </row>
    <row r="56" spans="1:14" s="253" customFormat="1" ht="33" customHeight="1">
      <c r="A56" s="1128">
        <v>1</v>
      </c>
      <c r="B56" s="262" t="s">
        <v>1280</v>
      </c>
      <c r="C56" s="1124" t="s">
        <v>1281</v>
      </c>
      <c r="D56" s="1128">
        <v>1971</v>
      </c>
      <c r="E56" s="1128"/>
      <c r="F56" s="1129" t="s">
        <v>571</v>
      </c>
      <c r="G56" s="1128" t="s">
        <v>1282</v>
      </c>
      <c r="H56" s="270"/>
      <c r="I56" s="1128"/>
      <c r="J56" s="1128" t="s">
        <v>179</v>
      </c>
      <c r="K56" s="1128"/>
      <c r="L56" s="1128">
        <v>2022</v>
      </c>
      <c r="M56" s="1128"/>
      <c r="N56" s="1128"/>
    </row>
    <row r="57" spans="1:14" s="253" customFormat="1" ht="38.4" customHeight="1">
      <c r="A57" s="255">
        <v>2</v>
      </c>
      <c r="B57" s="268" t="s">
        <v>1283</v>
      </c>
      <c r="C57" s="269" t="s">
        <v>1284</v>
      </c>
      <c r="D57" s="255">
        <v>1984</v>
      </c>
      <c r="E57" s="255"/>
      <c r="F57" s="1129" t="s">
        <v>571</v>
      </c>
      <c r="G57" s="255" t="s">
        <v>577</v>
      </c>
      <c r="H57" s="271"/>
      <c r="I57" s="255"/>
      <c r="J57" s="255" t="s">
        <v>179</v>
      </c>
      <c r="K57" s="255"/>
      <c r="L57" s="255">
        <v>2022</v>
      </c>
      <c r="M57" s="255"/>
      <c r="N57" s="255"/>
    </row>
    <row r="58" spans="1:14" s="253" customFormat="1" ht="27.75" customHeight="1">
      <c r="A58" s="255">
        <v>3</v>
      </c>
      <c r="B58" s="268" t="s">
        <v>1285</v>
      </c>
      <c r="C58" s="269" t="s">
        <v>1286</v>
      </c>
      <c r="E58" s="255">
        <v>1984</v>
      </c>
      <c r="F58" s="1129" t="s">
        <v>571</v>
      </c>
      <c r="G58" s="255" t="s">
        <v>577</v>
      </c>
      <c r="H58" s="271"/>
      <c r="I58" s="255"/>
      <c r="J58" s="255" t="s">
        <v>179</v>
      </c>
      <c r="K58" s="255"/>
      <c r="L58" s="255">
        <v>2022</v>
      </c>
      <c r="M58" s="255"/>
      <c r="N58" s="255"/>
    </row>
    <row r="59" spans="1:14" s="253" customFormat="1" ht="20.149999999999999" customHeight="1">
      <c r="A59" s="1476" t="s">
        <v>271</v>
      </c>
      <c r="B59" s="1477"/>
      <c r="C59" s="1477"/>
      <c r="D59" s="1477"/>
      <c r="E59" s="1477"/>
      <c r="F59" s="1477"/>
      <c r="G59" s="1477"/>
      <c r="H59" s="1478"/>
      <c r="I59" s="1243"/>
      <c r="J59" s="1242" t="s">
        <v>1441</v>
      </c>
      <c r="K59" s="1243"/>
      <c r="L59" s="256"/>
      <c r="M59" s="256"/>
      <c r="N59" s="1127"/>
    </row>
    <row r="60" spans="1:14" s="272" customFormat="1" ht="27" customHeight="1">
      <c r="A60" s="267">
        <v>7</v>
      </c>
      <c r="B60" s="1459" t="s">
        <v>578</v>
      </c>
      <c r="C60" s="1460"/>
      <c r="D60" s="1460"/>
      <c r="E60" s="1460"/>
      <c r="F60" s="1460"/>
      <c r="G60" s="1460"/>
      <c r="H60" s="1460"/>
      <c r="I60" s="1460"/>
      <c r="J60" s="1460"/>
      <c r="K60" s="1460"/>
      <c r="L60" s="1460"/>
      <c r="M60" s="1460"/>
      <c r="N60" s="1461"/>
    </row>
    <row r="61" spans="1:14" s="273" customFormat="1" ht="46.5" customHeight="1">
      <c r="A61" s="1462" t="s">
        <v>307</v>
      </c>
      <c r="B61" s="1464" t="s">
        <v>188</v>
      </c>
      <c r="C61" s="1465"/>
      <c r="D61" s="1429" t="s">
        <v>534</v>
      </c>
      <c r="E61" s="1430"/>
      <c r="F61" s="1462" t="s">
        <v>535</v>
      </c>
      <c r="G61" s="1462" t="s">
        <v>530</v>
      </c>
      <c r="H61" s="1464" t="s">
        <v>579</v>
      </c>
      <c r="I61" s="1465"/>
      <c r="J61" s="1464" t="s">
        <v>580</v>
      </c>
      <c r="K61" s="1465"/>
      <c r="L61" s="1429" t="s">
        <v>581</v>
      </c>
      <c r="M61" s="1430"/>
      <c r="N61" s="1123" t="s">
        <v>16</v>
      </c>
    </row>
    <row r="62" spans="1:14" s="273" customFormat="1" ht="31.5" customHeight="1">
      <c r="A62" s="1463"/>
      <c r="B62" s="1466"/>
      <c r="C62" s="1467"/>
      <c r="D62" s="1123" t="s">
        <v>539</v>
      </c>
      <c r="E62" s="1123" t="s">
        <v>540</v>
      </c>
      <c r="F62" s="1463"/>
      <c r="G62" s="1463"/>
      <c r="H62" s="1466"/>
      <c r="I62" s="1467"/>
      <c r="J62" s="1466"/>
      <c r="K62" s="1467"/>
      <c r="L62" s="1123" t="s">
        <v>189</v>
      </c>
      <c r="M62" s="1123" t="s">
        <v>582</v>
      </c>
      <c r="N62" s="1123"/>
    </row>
    <row r="63" spans="1:14" s="258" customFormat="1" ht="30" customHeight="1">
      <c r="A63" s="1131">
        <v>1</v>
      </c>
      <c r="B63" s="1132" t="s">
        <v>1287</v>
      </c>
      <c r="C63" s="1131" t="s">
        <v>1284</v>
      </c>
      <c r="D63" s="1131">
        <v>1984</v>
      </c>
      <c r="E63" s="1131"/>
      <c r="F63" s="1128" t="s">
        <v>571</v>
      </c>
      <c r="G63" s="1129" t="s">
        <v>1240</v>
      </c>
      <c r="H63" s="1457" t="s">
        <v>1236</v>
      </c>
      <c r="I63" s="1458"/>
      <c r="J63" s="1481" t="s">
        <v>1288</v>
      </c>
      <c r="K63" s="1482"/>
      <c r="L63" s="1128" t="s">
        <v>583</v>
      </c>
      <c r="M63" s="1128">
        <v>2022</v>
      </c>
      <c r="N63" s="1128"/>
    </row>
    <row r="64" spans="1:14" s="252" customFormat="1" ht="35.25" customHeight="1">
      <c r="A64" s="1131">
        <v>2</v>
      </c>
      <c r="B64" s="1132" t="s">
        <v>1262</v>
      </c>
      <c r="C64" s="1131" t="s">
        <v>1260</v>
      </c>
      <c r="D64" s="1131"/>
      <c r="E64" s="1131">
        <v>1984</v>
      </c>
      <c r="F64" s="1128" t="s">
        <v>571</v>
      </c>
      <c r="G64" s="1129" t="s">
        <v>1240</v>
      </c>
      <c r="H64" s="1457" t="s">
        <v>1236</v>
      </c>
      <c r="I64" s="1458"/>
      <c r="J64" s="1481" t="s">
        <v>1288</v>
      </c>
      <c r="K64" s="1482"/>
      <c r="L64" s="1128" t="s">
        <v>583</v>
      </c>
      <c r="M64" s="1128">
        <v>2022</v>
      </c>
      <c r="N64" s="255"/>
    </row>
    <row r="65" spans="1:14" s="252" customFormat="1" ht="28.5" customHeight="1">
      <c r="A65" s="1131">
        <v>3</v>
      </c>
      <c r="B65" s="1157" t="s">
        <v>541</v>
      </c>
      <c r="C65" s="1158" t="s">
        <v>1414</v>
      </c>
      <c r="D65" s="1158">
        <v>1986</v>
      </c>
      <c r="E65" s="1158"/>
      <c r="F65" s="1159" t="s">
        <v>571</v>
      </c>
      <c r="G65" s="1160" t="s">
        <v>1240</v>
      </c>
      <c r="H65" s="1470" t="s">
        <v>1236</v>
      </c>
      <c r="I65" s="1471"/>
      <c r="J65" s="1472" t="s">
        <v>1288</v>
      </c>
      <c r="K65" s="1473"/>
      <c r="L65" s="1159" t="s">
        <v>583</v>
      </c>
      <c r="M65" s="1159">
        <v>2022</v>
      </c>
      <c r="N65" s="255"/>
    </row>
    <row r="66" spans="1:14" s="252" customFormat="1" ht="35.25" customHeight="1">
      <c r="A66" s="1131">
        <v>4</v>
      </c>
      <c r="B66" s="1161" t="s">
        <v>1290</v>
      </c>
      <c r="C66" s="1162" t="s">
        <v>1291</v>
      </c>
      <c r="D66" s="1158"/>
      <c r="E66" s="1162">
        <v>1986</v>
      </c>
      <c r="F66" s="1159" t="s">
        <v>571</v>
      </c>
      <c r="G66" s="1160" t="s">
        <v>1240</v>
      </c>
      <c r="H66" s="1483" t="s">
        <v>1236</v>
      </c>
      <c r="I66" s="1484"/>
      <c r="J66" s="1485" t="s">
        <v>1288</v>
      </c>
      <c r="K66" s="1486"/>
      <c r="L66" s="1159" t="s">
        <v>583</v>
      </c>
      <c r="M66" s="1159">
        <v>2022</v>
      </c>
      <c r="N66" s="1130"/>
    </row>
    <row r="67" spans="1:14" s="252" customFormat="1" ht="35.25" customHeight="1">
      <c r="A67" s="1131">
        <v>4</v>
      </c>
      <c r="B67" s="1161" t="s">
        <v>1262</v>
      </c>
      <c r="C67" s="1162" t="s">
        <v>1289</v>
      </c>
      <c r="D67" s="1162"/>
      <c r="E67" s="1162">
        <v>1984</v>
      </c>
      <c r="F67" s="1162" t="s">
        <v>571</v>
      </c>
      <c r="G67" s="1161" t="s">
        <v>1240</v>
      </c>
      <c r="H67" s="1470" t="s">
        <v>1251</v>
      </c>
      <c r="I67" s="1471"/>
      <c r="J67" s="1472" t="s">
        <v>1288</v>
      </c>
      <c r="K67" s="1473"/>
      <c r="L67" s="1162" t="s">
        <v>583</v>
      </c>
      <c r="M67" s="1162">
        <v>2022</v>
      </c>
      <c r="N67" s="256"/>
    </row>
    <row r="68" spans="1:14" ht="13.25" customHeight="1">
      <c r="K68" s="1423" t="s">
        <v>286</v>
      </c>
      <c r="L68" s="1423"/>
      <c r="M68" s="1423"/>
      <c r="N68" s="1423"/>
    </row>
    <row r="69" spans="1:14">
      <c r="L69" s="1297" t="s">
        <v>1427</v>
      </c>
      <c r="M69" s="1297"/>
    </row>
    <row r="70" spans="1:14">
      <c r="L70" s="72"/>
      <c r="M70" s="1218"/>
    </row>
    <row r="71" spans="1:14">
      <c r="L71" s="72"/>
      <c r="M71" s="658"/>
    </row>
    <row r="72" spans="1:14">
      <c r="L72" s="72"/>
      <c r="M72" s="658"/>
    </row>
    <row r="73" spans="1:14">
      <c r="L73" s="72"/>
      <c r="M73" s="658"/>
    </row>
    <row r="74" spans="1:14">
      <c r="L74" s="72"/>
      <c r="M74" s="658"/>
    </row>
    <row r="75" spans="1:14">
      <c r="L75" s="1297" t="s">
        <v>1428</v>
      </c>
      <c r="M75" s="1297"/>
    </row>
  </sheetData>
  <mergeCells count="125">
    <mergeCell ref="A3:F3"/>
    <mergeCell ref="A4:F4"/>
    <mergeCell ref="H63:I63"/>
    <mergeCell ref="J63:K63"/>
    <mergeCell ref="H64:I64"/>
    <mergeCell ref="J64:K64"/>
    <mergeCell ref="H67:I67"/>
    <mergeCell ref="J67:K67"/>
    <mergeCell ref="H66:I66"/>
    <mergeCell ref="J66:K66"/>
    <mergeCell ref="G54:G55"/>
    <mergeCell ref="H54:H55"/>
    <mergeCell ref="I54:K54"/>
    <mergeCell ref="A21:A22"/>
    <mergeCell ref="B21:C22"/>
    <mergeCell ref="D21:E21"/>
    <mergeCell ref="F21:F22"/>
    <mergeCell ref="G21:G22"/>
    <mergeCell ref="H21:H22"/>
    <mergeCell ref="I21:I22"/>
    <mergeCell ref="A44:H44"/>
    <mergeCell ref="B45:N45"/>
    <mergeCell ref="J21:J22"/>
    <mergeCell ref="K21:K22"/>
    <mergeCell ref="K68:N68"/>
    <mergeCell ref="H65:I65"/>
    <mergeCell ref="J65:K65"/>
    <mergeCell ref="L29:L30"/>
    <mergeCell ref="M29:M30"/>
    <mergeCell ref="N29:N30"/>
    <mergeCell ref="M26:N26"/>
    <mergeCell ref="A59:H59"/>
    <mergeCell ref="B60:N60"/>
    <mergeCell ref="A61:A62"/>
    <mergeCell ref="B61:C62"/>
    <mergeCell ref="D61:E61"/>
    <mergeCell ref="F61:F62"/>
    <mergeCell ref="G61:G62"/>
    <mergeCell ref="H61:I62"/>
    <mergeCell ref="J61:K62"/>
    <mergeCell ref="L61:M61"/>
    <mergeCell ref="N46:N47"/>
    <mergeCell ref="A52:H52"/>
    <mergeCell ref="B53:N53"/>
    <mergeCell ref="A54:A55"/>
    <mergeCell ref="B54:C55"/>
    <mergeCell ref="D54:E54"/>
    <mergeCell ref="F54:F55"/>
    <mergeCell ref="L54:L55"/>
    <mergeCell ref="M54:M55"/>
    <mergeCell ref="N54:N55"/>
    <mergeCell ref="A46:A47"/>
    <mergeCell ref="B46:C47"/>
    <mergeCell ref="D46:E46"/>
    <mergeCell ref="F46:F47"/>
    <mergeCell ref="G46:G47"/>
    <mergeCell ref="H46:H47"/>
    <mergeCell ref="I46:K46"/>
    <mergeCell ref="L46:L47"/>
    <mergeCell ref="M46:M47"/>
    <mergeCell ref="M24:N24"/>
    <mergeCell ref="M25:N25"/>
    <mergeCell ref="M27:N27"/>
    <mergeCell ref="B28:N28"/>
    <mergeCell ref="A29:A30"/>
    <mergeCell ref="B29:C30"/>
    <mergeCell ref="D29:E29"/>
    <mergeCell ref="F29:F30"/>
    <mergeCell ref="G29:G30"/>
    <mergeCell ref="H29:H30"/>
    <mergeCell ref="I29:K29"/>
    <mergeCell ref="M18:N18"/>
    <mergeCell ref="M23:N23"/>
    <mergeCell ref="M19:N19"/>
    <mergeCell ref="B15:N15"/>
    <mergeCell ref="L16:L17"/>
    <mergeCell ref="M16:N17"/>
    <mergeCell ref="B20:N20"/>
    <mergeCell ref="A16:A17"/>
    <mergeCell ref="B16:C17"/>
    <mergeCell ref="D16:E16"/>
    <mergeCell ref="F16:F17"/>
    <mergeCell ref="G16:G17"/>
    <mergeCell ref="H16:H17"/>
    <mergeCell ref="I16:I17"/>
    <mergeCell ref="J16:J17"/>
    <mergeCell ref="K16:K17"/>
    <mergeCell ref="L21:L22"/>
    <mergeCell ref="M21:N22"/>
    <mergeCell ref="J11:L11"/>
    <mergeCell ref="M11:N11"/>
    <mergeCell ref="B12:C12"/>
    <mergeCell ref="E12:F12"/>
    <mergeCell ref="G12:I12"/>
    <mergeCell ref="J12:L12"/>
    <mergeCell ref="M12:N12"/>
    <mergeCell ref="B13:C13"/>
    <mergeCell ref="E13:F13"/>
    <mergeCell ref="G13:I13"/>
    <mergeCell ref="J13:L13"/>
    <mergeCell ref="M13:N13"/>
    <mergeCell ref="L69:M69"/>
    <mergeCell ref="L75:M75"/>
    <mergeCell ref="G3:M3"/>
    <mergeCell ref="G4:M4"/>
    <mergeCell ref="A6:N6"/>
    <mergeCell ref="B8:N8"/>
    <mergeCell ref="B9:C9"/>
    <mergeCell ref="E9:F9"/>
    <mergeCell ref="G9:I9"/>
    <mergeCell ref="J9:L9"/>
    <mergeCell ref="M9:N9"/>
    <mergeCell ref="B14:C14"/>
    <mergeCell ref="E14:F14"/>
    <mergeCell ref="G14:I14"/>
    <mergeCell ref="J14:L14"/>
    <mergeCell ref="M14:N14"/>
    <mergeCell ref="B10:C10"/>
    <mergeCell ref="E10:F10"/>
    <mergeCell ref="G10:I10"/>
    <mergeCell ref="J10:L10"/>
    <mergeCell ref="M10:N10"/>
    <mergeCell ref="B11:C11"/>
    <mergeCell ref="E11:F11"/>
    <mergeCell ref="G11:I11"/>
  </mergeCells>
  <pageMargins left="0.45" right="0.17" top="0.47" bottom="0.19" header="0.3" footer="0.3"/>
  <pageSetup paperSize="9" scale="85"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topLeftCell="A10" workbookViewId="0">
      <selection activeCell="D10" sqref="D10"/>
    </sheetView>
  </sheetViews>
  <sheetFormatPr defaultColWidth="9" defaultRowHeight="13"/>
  <cols>
    <col min="1" max="1" width="5.9140625" style="99" customWidth="1"/>
    <col min="2" max="2" width="43.4140625" style="99" customWidth="1"/>
    <col min="3" max="3" width="11.9140625" style="99" customWidth="1"/>
    <col min="4" max="4" width="13.9140625" style="99" customWidth="1"/>
    <col min="5" max="5" width="25.9140625" style="99" customWidth="1"/>
    <col min="6" max="6" width="0" style="99" hidden="1" customWidth="1"/>
    <col min="7" max="7" width="102.08203125" style="99" customWidth="1"/>
    <col min="8" max="16384" width="9" style="99"/>
  </cols>
  <sheetData>
    <row r="1" spans="1:7" ht="15.5">
      <c r="A1" s="1490" t="s">
        <v>275</v>
      </c>
      <c r="B1" s="1490"/>
      <c r="C1" s="209"/>
      <c r="D1" s="209"/>
      <c r="E1" s="103" t="s">
        <v>290</v>
      </c>
    </row>
    <row r="2" spans="1:7" ht="15.5">
      <c r="A2" s="1421" t="s">
        <v>1363</v>
      </c>
      <c r="B2" s="1421"/>
      <c r="C2" s="209"/>
      <c r="D2" s="209"/>
      <c r="E2" s="109"/>
    </row>
    <row r="3" spans="1:7" ht="24.65" customHeight="1">
      <c r="A3" s="1303" t="s">
        <v>618</v>
      </c>
      <c r="B3" s="1303"/>
      <c r="C3" s="1303"/>
      <c r="D3" s="1303"/>
      <c r="E3" s="1303"/>
    </row>
    <row r="4" spans="1:7" ht="13.5" thickBot="1">
      <c r="A4" s="210"/>
      <c r="B4" s="210"/>
      <c r="C4" s="101"/>
      <c r="D4" s="101"/>
      <c r="E4" s="92"/>
    </row>
    <row r="5" spans="1:7" ht="41.25" customHeight="1" thickTop="1">
      <c r="A5" s="104" t="s">
        <v>5</v>
      </c>
      <c r="B5" s="105" t="s">
        <v>292</v>
      </c>
      <c r="C5" s="106" t="s">
        <v>293</v>
      </c>
      <c r="D5" s="106" t="s">
        <v>294</v>
      </c>
      <c r="E5" s="107" t="s">
        <v>16</v>
      </c>
      <c r="G5" s="186"/>
    </row>
    <row r="6" spans="1:7" ht="36.75" customHeight="1">
      <c r="A6" s="211" t="s">
        <v>19</v>
      </c>
      <c r="B6" s="212" t="s">
        <v>295</v>
      </c>
      <c r="C6" s="213"/>
      <c r="D6" s="214"/>
      <c r="E6" s="215"/>
      <c r="G6" s="279" t="s">
        <v>612</v>
      </c>
    </row>
    <row r="7" spans="1:7" ht="18.899999999999999" customHeight="1">
      <c r="A7" s="216">
        <v>1</v>
      </c>
      <c r="B7" s="217" t="s">
        <v>296</v>
      </c>
      <c r="C7" s="218"/>
      <c r="D7" s="219"/>
      <c r="E7" s="220"/>
    </row>
    <row r="8" spans="1:7" ht="18.899999999999999" customHeight="1">
      <c r="A8" s="216"/>
      <c r="B8" s="226" t="s">
        <v>655</v>
      </c>
      <c r="C8" s="218"/>
      <c r="D8" s="219"/>
      <c r="E8" s="220"/>
    </row>
    <row r="9" spans="1:7" ht="18.899999999999999" customHeight="1">
      <c r="A9" s="216">
        <v>2</v>
      </c>
      <c r="B9" s="217" t="s">
        <v>297</v>
      </c>
      <c r="C9" s="218"/>
      <c r="D9" s="219"/>
      <c r="E9" s="220"/>
    </row>
    <row r="10" spans="1:7" ht="18.899999999999999" customHeight="1">
      <c r="A10" s="216"/>
      <c r="B10" s="226" t="s">
        <v>655</v>
      </c>
      <c r="C10" s="218"/>
      <c r="D10" s="219"/>
      <c r="E10" s="220"/>
    </row>
    <row r="11" spans="1:7" ht="18.899999999999999" customHeight="1">
      <c r="A11" s="216">
        <v>3</v>
      </c>
      <c r="B11" s="217" t="s">
        <v>298</v>
      </c>
      <c r="C11" s="218"/>
      <c r="D11" s="219"/>
      <c r="E11" s="220"/>
    </row>
    <row r="12" spans="1:7" ht="18.899999999999999" customHeight="1">
      <c r="A12" s="216"/>
      <c r="B12" s="226" t="s">
        <v>655</v>
      </c>
      <c r="C12" s="221"/>
      <c r="D12" s="222"/>
      <c r="E12" s="223"/>
    </row>
    <row r="13" spans="1:7" ht="37.5" customHeight="1">
      <c r="A13" s="224" t="s">
        <v>41</v>
      </c>
      <c r="B13" s="212" t="s">
        <v>299</v>
      </c>
      <c r="C13" s="225"/>
      <c r="D13" s="222"/>
      <c r="E13" s="223"/>
    </row>
    <row r="14" spans="1:7" s="229" customFormat="1" ht="162.75" customHeight="1">
      <c r="A14" s="216">
        <v>1</v>
      </c>
      <c r="B14" s="226" t="s">
        <v>1292</v>
      </c>
      <c r="C14" s="226" t="s">
        <v>1293</v>
      </c>
      <c r="D14" s="620">
        <v>1900000</v>
      </c>
      <c r="E14" s="634" t="s">
        <v>1294</v>
      </c>
    </row>
    <row r="15" spans="1:7" ht="48.9" customHeight="1">
      <c r="A15" s="224" t="s">
        <v>113</v>
      </c>
      <c r="B15" s="212" t="s">
        <v>651</v>
      </c>
      <c r="C15" s="212"/>
      <c r="D15" s="621"/>
      <c r="E15" s="223"/>
    </row>
    <row r="16" spans="1:7" ht="38.25" customHeight="1">
      <c r="A16" s="216">
        <v>1</v>
      </c>
      <c r="B16" s="217" t="s">
        <v>1295</v>
      </c>
      <c r="C16" s="217" t="s">
        <v>1296</v>
      </c>
      <c r="D16" s="622">
        <v>5000</v>
      </c>
      <c r="E16" s="223"/>
      <c r="F16"/>
      <c r="G16"/>
    </row>
    <row r="17" spans="1:7" ht="26.15" customHeight="1">
      <c r="A17" s="216">
        <v>2</v>
      </c>
      <c r="B17" s="217" t="s">
        <v>1297</v>
      </c>
      <c r="C17" s="217" t="s">
        <v>1296</v>
      </c>
      <c r="D17" s="622">
        <v>5000</v>
      </c>
      <c r="E17" s="223"/>
      <c r="F17"/>
      <c r="G17"/>
    </row>
    <row r="18" spans="1:7" ht="50.15" customHeight="1">
      <c r="A18" s="623">
        <v>3</v>
      </c>
      <c r="B18" s="624" t="s">
        <v>1298</v>
      </c>
      <c r="C18" s="625" t="s">
        <v>1299</v>
      </c>
      <c r="D18" s="626">
        <v>20000</v>
      </c>
      <c r="E18" s="223"/>
    </row>
    <row r="19" spans="1:7" ht="43.65" customHeight="1">
      <c r="A19" s="623">
        <v>4</v>
      </c>
      <c r="B19" s="624" t="s">
        <v>1300</v>
      </c>
      <c r="C19" s="625" t="s">
        <v>1299</v>
      </c>
      <c r="D19" s="626">
        <v>20000</v>
      </c>
      <c r="E19" s="223"/>
    </row>
    <row r="20" spans="1:7" ht="38.4" customHeight="1">
      <c r="A20" s="623">
        <v>5</v>
      </c>
      <c r="B20" s="624" t="s">
        <v>1301</v>
      </c>
      <c r="C20" s="625" t="s">
        <v>1299</v>
      </c>
      <c r="D20" s="626">
        <v>25000</v>
      </c>
      <c r="E20" s="223"/>
    </row>
    <row r="21" spans="1:7" ht="45.9" customHeight="1">
      <c r="A21" s="623">
        <v>6</v>
      </c>
      <c r="B21" s="624" t="s">
        <v>1302</v>
      </c>
      <c r="C21" s="625" t="s">
        <v>1251</v>
      </c>
      <c r="D21" s="626">
        <v>25000</v>
      </c>
      <c r="E21" s="223"/>
    </row>
    <row r="22" spans="1:7" ht="33" customHeight="1">
      <c r="A22" s="224" t="s">
        <v>300</v>
      </c>
      <c r="B22" s="212" t="s">
        <v>486</v>
      </c>
      <c r="C22" s="212"/>
      <c r="D22" s="621"/>
      <c r="E22" s="227"/>
    </row>
    <row r="23" spans="1:7" ht="33" customHeight="1">
      <c r="A23" s="216">
        <v>1</v>
      </c>
      <c r="B23" s="226" t="s">
        <v>1303</v>
      </c>
      <c r="C23" s="217" t="s">
        <v>1304</v>
      </c>
      <c r="D23" s="622">
        <v>5000</v>
      </c>
      <c r="E23" s="227"/>
    </row>
    <row r="24" spans="1:7" ht="42.75" customHeight="1">
      <c r="A24" s="216">
        <v>2</v>
      </c>
      <c r="B24" s="226" t="s">
        <v>1305</v>
      </c>
      <c r="C24" s="217" t="s">
        <v>1304</v>
      </c>
      <c r="D24" s="622">
        <v>5000</v>
      </c>
      <c r="E24" s="227"/>
    </row>
    <row r="25" spans="1:7" ht="33" customHeight="1">
      <c r="A25" s="216">
        <v>3</v>
      </c>
      <c r="B25" s="226" t="s">
        <v>1306</v>
      </c>
      <c r="C25" s="217" t="s">
        <v>1304</v>
      </c>
      <c r="D25" s="622">
        <v>5000</v>
      </c>
      <c r="E25" s="223"/>
      <c r="G25" s="229"/>
    </row>
    <row r="26" spans="1:7" ht="45.75" customHeight="1">
      <c r="A26" s="216">
        <v>4</v>
      </c>
      <c r="B26" s="226" t="s">
        <v>1307</v>
      </c>
      <c r="C26" s="217" t="s">
        <v>1296</v>
      </c>
      <c r="D26" s="622">
        <v>5000</v>
      </c>
      <c r="E26" s="223"/>
      <c r="F26"/>
      <c r="G26"/>
    </row>
    <row r="27" spans="1:7" ht="45.75" customHeight="1">
      <c r="A27" s="629">
        <v>4</v>
      </c>
      <c r="B27" s="1287" t="s">
        <v>1451</v>
      </c>
      <c r="C27" s="1288" t="s">
        <v>1231</v>
      </c>
      <c r="D27" s="1289">
        <v>5000</v>
      </c>
      <c r="E27" s="223"/>
      <c r="F27"/>
      <c r="G27"/>
    </row>
    <row r="28" spans="1:7" ht="45.75" customHeight="1">
      <c r="A28" s="629">
        <v>5</v>
      </c>
      <c r="B28" s="1287" t="s">
        <v>1452</v>
      </c>
      <c r="C28" s="1288" t="s">
        <v>1231</v>
      </c>
      <c r="D28" s="1289">
        <v>5000</v>
      </c>
      <c r="E28" s="223"/>
      <c r="F28"/>
      <c r="G28"/>
    </row>
    <row r="29" spans="1:7" ht="33" customHeight="1">
      <c r="A29" s="216">
        <v>6</v>
      </c>
      <c r="B29" s="226" t="s">
        <v>1308</v>
      </c>
      <c r="C29" s="217" t="s">
        <v>1251</v>
      </c>
      <c r="D29" s="622">
        <v>5000</v>
      </c>
      <c r="E29" s="227"/>
    </row>
    <row r="30" spans="1:7" ht="42.75" customHeight="1">
      <c r="A30" s="216">
        <v>7</v>
      </c>
      <c r="B30" s="226" t="s">
        <v>1309</v>
      </c>
      <c r="C30" s="217" t="s">
        <v>1251</v>
      </c>
      <c r="D30" s="622">
        <v>5000</v>
      </c>
      <c r="E30" s="227"/>
    </row>
    <row r="31" spans="1:7" ht="33" customHeight="1">
      <c r="A31" s="216">
        <v>8</v>
      </c>
      <c r="B31" s="226" t="s">
        <v>1310</v>
      </c>
      <c r="C31" s="217" t="s">
        <v>1251</v>
      </c>
      <c r="D31" s="622">
        <v>5000</v>
      </c>
      <c r="E31" s="223"/>
      <c r="G31" s="229"/>
    </row>
    <row r="32" spans="1:7" s="229" customFormat="1" ht="18.899999999999999" customHeight="1">
      <c r="A32" s="224" t="s">
        <v>301</v>
      </c>
      <c r="B32" s="212" t="s">
        <v>487</v>
      </c>
      <c r="C32" s="228"/>
      <c r="D32" s="627"/>
      <c r="E32" s="227"/>
    </row>
    <row r="33" spans="1:7" s="229" customFormat="1" ht="35.9" customHeight="1">
      <c r="A33" s="224"/>
      <c r="B33" s="226" t="s">
        <v>1311</v>
      </c>
      <c r="C33" s="217" t="s">
        <v>1296</v>
      </c>
      <c r="D33" s="622">
        <v>20000</v>
      </c>
      <c r="E33" s="223"/>
      <c r="F33"/>
      <c r="G33"/>
    </row>
    <row r="34" spans="1:7" ht="18.899999999999999" customHeight="1">
      <c r="A34" s="224" t="s">
        <v>302</v>
      </c>
      <c r="B34" s="212" t="s">
        <v>488</v>
      </c>
      <c r="C34" s="212"/>
      <c r="D34" s="222"/>
      <c r="E34" s="223"/>
    </row>
    <row r="35" spans="1:7" ht="72.75" customHeight="1">
      <c r="A35" s="216" t="s">
        <v>586</v>
      </c>
      <c r="B35" s="230" t="s">
        <v>656</v>
      </c>
      <c r="C35" s="217"/>
      <c r="D35" s="222"/>
      <c r="E35" s="223"/>
    </row>
    <row r="36" spans="1:7" ht="44.4" customHeight="1">
      <c r="A36" s="216" t="s">
        <v>587</v>
      </c>
      <c r="B36" s="230" t="s">
        <v>620</v>
      </c>
      <c r="C36" s="217"/>
      <c r="D36" s="222"/>
      <c r="E36" s="282"/>
      <c r="G36" s="98"/>
    </row>
    <row r="37" spans="1:7" ht="48.9" customHeight="1">
      <c r="A37" s="216">
        <v>1</v>
      </c>
      <c r="B37" s="226" t="s">
        <v>1312</v>
      </c>
      <c r="C37" s="217" t="s">
        <v>1313</v>
      </c>
      <c r="D37" s="620">
        <v>10000</v>
      </c>
      <c r="E37" s="628" t="s">
        <v>1314</v>
      </c>
      <c r="G37" s="98"/>
    </row>
    <row r="38" spans="1:7" ht="22.5" customHeight="1">
      <c r="A38" s="216">
        <v>2</v>
      </c>
      <c r="B38" s="226" t="s">
        <v>1315</v>
      </c>
      <c r="C38" s="217"/>
      <c r="D38" s="622">
        <v>10000</v>
      </c>
      <c r="E38" s="628" t="s">
        <v>1314</v>
      </c>
      <c r="G38" s="98"/>
    </row>
    <row r="39" spans="1:7" ht="18.899999999999999" customHeight="1">
      <c r="A39" s="216" t="s">
        <v>619</v>
      </c>
      <c r="B39" s="230" t="s">
        <v>489</v>
      </c>
      <c r="C39" s="217"/>
      <c r="D39" s="621"/>
      <c r="E39" s="223"/>
    </row>
    <row r="40" spans="1:7" ht="18.899999999999999" customHeight="1">
      <c r="A40" s="224" t="s">
        <v>485</v>
      </c>
      <c r="B40" s="212" t="s">
        <v>490</v>
      </c>
      <c r="C40" s="212"/>
      <c r="D40" s="621"/>
      <c r="E40" s="223"/>
    </row>
    <row r="41" spans="1:7" ht="18.899999999999999" customHeight="1">
      <c r="A41" s="216" t="s">
        <v>154</v>
      </c>
      <c r="B41" s="217" t="s">
        <v>491</v>
      </c>
      <c r="C41" s="217"/>
      <c r="D41" s="621"/>
      <c r="E41" s="223"/>
    </row>
    <row r="42" spans="1:7" ht="18.899999999999999" customHeight="1">
      <c r="A42" s="216" t="s">
        <v>161</v>
      </c>
      <c r="B42" s="217" t="s">
        <v>492</v>
      </c>
      <c r="C42" s="217"/>
      <c r="D42" s="621"/>
      <c r="E42" s="223"/>
    </row>
    <row r="43" spans="1:7" ht="42.75" customHeight="1">
      <c r="A43" s="216">
        <v>1</v>
      </c>
      <c r="B43" s="217" t="s">
        <v>1316</v>
      </c>
      <c r="C43" s="99" t="s">
        <v>1304</v>
      </c>
      <c r="D43" s="622">
        <v>10000</v>
      </c>
      <c r="E43" s="223"/>
    </row>
    <row r="44" spans="1:7" ht="51" customHeight="1">
      <c r="A44" s="216">
        <v>2</v>
      </c>
      <c r="B44" s="217" t="s">
        <v>1317</v>
      </c>
      <c r="C44" s="99" t="s">
        <v>1304</v>
      </c>
      <c r="D44" s="622">
        <v>10000</v>
      </c>
      <c r="E44" s="223"/>
    </row>
    <row r="45" spans="1:7" ht="53.15" customHeight="1">
      <c r="A45" s="629">
        <v>3</v>
      </c>
      <c r="B45" s="217" t="s">
        <v>1318</v>
      </c>
      <c r="C45" s="217" t="s">
        <v>1319</v>
      </c>
      <c r="D45" s="620">
        <v>30000</v>
      </c>
      <c r="E45" s="634" t="s">
        <v>1320</v>
      </c>
      <c r="F45" s="229"/>
      <c r="G45" s="229"/>
    </row>
    <row r="46" spans="1:7" ht="18.899999999999999" customHeight="1">
      <c r="A46" s="216" t="s">
        <v>173</v>
      </c>
      <c r="B46" s="217" t="s">
        <v>493</v>
      </c>
      <c r="C46" s="217"/>
      <c r="D46" s="222"/>
      <c r="E46" s="223"/>
    </row>
    <row r="47" spans="1:7" ht="38.15" customHeight="1">
      <c r="A47" s="224" t="s">
        <v>623</v>
      </c>
      <c r="B47" s="212" t="s">
        <v>652</v>
      </c>
      <c r="C47" s="217"/>
      <c r="D47" s="222"/>
      <c r="E47" s="223"/>
    </row>
    <row r="48" spans="1:7" ht="29.4" customHeight="1">
      <c r="A48" s="224"/>
      <c r="B48" s="1288" t="s">
        <v>1453</v>
      </c>
      <c r="C48" s="1288"/>
      <c r="D48" s="1290">
        <v>5000</v>
      </c>
      <c r="E48" s="223"/>
    </row>
    <row r="49" spans="1:7" ht="18.899999999999999" customHeight="1">
      <c r="A49" s="216">
        <v>1</v>
      </c>
      <c r="B49" s="217" t="s">
        <v>653</v>
      </c>
      <c r="C49" s="217"/>
      <c r="D49" s="222"/>
      <c r="E49" s="223"/>
    </row>
    <row r="50" spans="1:7" ht="18.899999999999999" customHeight="1">
      <c r="A50" s="630">
        <v>2</v>
      </c>
      <c r="B50" s="631" t="s">
        <v>654</v>
      </c>
      <c r="C50" s="631"/>
      <c r="D50" s="632"/>
      <c r="E50" s="633"/>
    </row>
    <row r="51" spans="1:7" ht="39" customHeight="1" thickBot="1">
      <c r="A51" s="231"/>
      <c r="B51" s="232" t="s">
        <v>271</v>
      </c>
      <c r="C51" s="233"/>
      <c r="D51" s="1244">
        <f>SUM(D14:D50)</f>
        <v>2140000</v>
      </c>
      <c r="E51" s="234"/>
    </row>
    <row r="52" spans="1:7" ht="32.25" customHeight="1" thickTop="1">
      <c r="A52" s="235"/>
      <c r="B52" s="236"/>
      <c r="C52" s="1491" t="s">
        <v>247</v>
      </c>
      <c r="D52" s="1491"/>
      <c r="E52" s="1491"/>
      <c r="F52" s="237"/>
    </row>
    <row r="53" spans="1:7">
      <c r="A53" s="97"/>
      <c r="B53" s="98"/>
      <c r="C53" s="91"/>
      <c r="D53" s="249"/>
      <c r="E53" s="1297" t="s">
        <v>1427</v>
      </c>
      <c r="F53" s="1297"/>
      <c r="G53" s="249"/>
    </row>
    <row r="54" spans="1:7">
      <c r="A54" s="97"/>
      <c r="B54" s="98"/>
      <c r="C54" s="91"/>
      <c r="D54" s="249"/>
      <c r="E54" s="72"/>
      <c r="F54" s="1218"/>
      <c r="G54" s="249"/>
    </row>
    <row r="55" spans="1:7">
      <c r="A55" s="97"/>
      <c r="B55" s="98"/>
      <c r="C55" s="91"/>
      <c r="D55" s="249"/>
      <c r="E55" s="72"/>
      <c r="F55" s="658"/>
      <c r="G55" s="249"/>
    </row>
    <row r="56" spans="1:7">
      <c r="A56" s="97"/>
      <c r="B56" s="98"/>
      <c r="C56" s="91"/>
      <c r="D56" s="249"/>
      <c r="E56" s="72"/>
      <c r="F56" s="658"/>
      <c r="G56" s="249"/>
    </row>
    <row r="57" spans="1:7">
      <c r="A57" s="97"/>
      <c r="B57" s="98"/>
      <c r="C57" s="91"/>
      <c r="D57" s="249"/>
      <c r="E57" s="72"/>
      <c r="F57" s="658"/>
      <c r="G57" s="249"/>
    </row>
    <row r="58" spans="1:7">
      <c r="A58" s="97"/>
      <c r="B58" s="98"/>
      <c r="C58" s="91"/>
      <c r="D58" s="249"/>
      <c r="E58" s="1297" t="s">
        <v>1428</v>
      </c>
      <c r="F58" s="1297"/>
      <c r="G58" s="249"/>
    </row>
    <row r="59" spans="1:7">
      <c r="A59" s="97"/>
      <c r="B59" s="98"/>
      <c r="C59" s="91"/>
      <c r="D59" s="91"/>
      <c r="E59" s="96"/>
    </row>
    <row r="60" spans="1:7">
      <c r="A60" s="97"/>
      <c r="B60" s="98"/>
      <c r="C60" s="91"/>
      <c r="D60" s="91"/>
      <c r="E60" s="96"/>
    </row>
  </sheetData>
  <mergeCells count="6">
    <mergeCell ref="E53:F53"/>
    <mergeCell ref="E58:F58"/>
    <mergeCell ref="A1:B1"/>
    <mergeCell ref="C52:E52"/>
    <mergeCell ref="A3:E3"/>
    <mergeCell ref="A2:B2"/>
  </mergeCells>
  <pageMargins left="0" right="0" top="0" bottom="0" header="0" footer="0"/>
  <pageSetup paperSize="9" scale="99"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topLeftCell="A14" workbookViewId="0">
      <selection activeCell="I19" sqref="I19"/>
    </sheetView>
  </sheetViews>
  <sheetFormatPr defaultColWidth="9" defaultRowHeight="15.5"/>
  <cols>
    <col min="1" max="1" width="5.9140625" style="647" customWidth="1"/>
    <col min="2" max="2" width="36.6640625" style="647" customWidth="1"/>
    <col min="3" max="3" width="19.33203125" style="647" customWidth="1"/>
    <col min="4" max="4" width="8.33203125" style="647" customWidth="1"/>
    <col min="5" max="6" width="9" style="647"/>
    <col min="7" max="7" width="11.9140625" style="647" customWidth="1"/>
    <col min="8" max="8" width="23.6640625" style="647" customWidth="1"/>
    <col min="9" max="9" width="16.08203125" style="647" customWidth="1"/>
    <col min="10" max="10" width="14" style="647" customWidth="1"/>
    <col min="11" max="16384" width="9" style="647"/>
  </cols>
  <sheetData>
    <row r="1" spans="1:14">
      <c r="A1" s="1493" t="s">
        <v>471</v>
      </c>
      <c r="B1" s="1493"/>
      <c r="C1" s="1494"/>
      <c r="D1" s="1494"/>
      <c r="E1" s="1494"/>
      <c r="F1" s="1494"/>
      <c r="G1" s="1494"/>
      <c r="H1" s="1494"/>
      <c r="I1" s="1494"/>
      <c r="J1" s="648" t="s">
        <v>584</v>
      </c>
    </row>
    <row r="2" spans="1:14">
      <c r="A2" s="1495" t="s">
        <v>1363</v>
      </c>
      <c r="B2" s="1495"/>
      <c r="C2" s="1494"/>
      <c r="D2" s="1494"/>
      <c r="E2" s="1494"/>
      <c r="F2" s="1494"/>
      <c r="G2" s="1494"/>
      <c r="H2" s="1494"/>
      <c r="I2" s="1494"/>
      <c r="J2" s="649"/>
    </row>
    <row r="3" spans="1:14">
      <c r="A3" s="1245"/>
      <c r="B3" s="1245"/>
      <c r="C3" s="1494" t="s">
        <v>1323</v>
      </c>
      <c r="D3" s="1494"/>
      <c r="E3" s="1494"/>
      <c r="F3" s="1494"/>
      <c r="G3" s="1494"/>
      <c r="H3" s="1494"/>
      <c r="I3" s="1494"/>
      <c r="J3" s="649"/>
    </row>
    <row r="4" spans="1:14">
      <c r="A4" s="1245"/>
      <c r="B4" s="1245"/>
      <c r="C4" s="1494"/>
      <c r="D4" s="1494"/>
      <c r="E4" s="1494"/>
      <c r="F4" s="1494"/>
      <c r="G4" s="1494"/>
      <c r="H4" s="1494"/>
      <c r="I4" s="1494"/>
      <c r="J4" s="649"/>
    </row>
    <row r="5" spans="1:14">
      <c r="A5" s="1245"/>
      <c r="B5" s="1245"/>
      <c r="C5" s="1494"/>
      <c r="D5" s="1494"/>
      <c r="E5" s="1494"/>
      <c r="F5" s="1494"/>
      <c r="G5" s="1494"/>
      <c r="H5" s="1494"/>
      <c r="I5" s="1494"/>
      <c r="J5" s="649"/>
    </row>
    <row r="6" spans="1:14" ht="16" thickBot="1">
      <c r="A6" s="649"/>
      <c r="B6" s="649"/>
      <c r="C6" s="1494"/>
      <c r="D6" s="1494"/>
      <c r="E6" s="1494"/>
      <c r="F6" s="1494"/>
      <c r="G6" s="1494"/>
      <c r="H6" s="1494"/>
      <c r="I6" s="1494"/>
      <c r="J6" s="649"/>
    </row>
    <row r="7" spans="1:14" ht="44.25" customHeight="1" thickBot="1">
      <c r="A7" s="798" t="s">
        <v>307</v>
      </c>
      <c r="B7" s="799" t="s">
        <v>1324</v>
      </c>
      <c r="C7" s="799" t="s">
        <v>1325</v>
      </c>
      <c r="D7" s="1247" t="s">
        <v>1326</v>
      </c>
      <c r="E7" s="799" t="s">
        <v>1327</v>
      </c>
      <c r="F7" s="799" t="s">
        <v>1328</v>
      </c>
      <c r="G7" s="799" t="s">
        <v>1329</v>
      </c>
      <c r="H7" s="799" t="s">
        <v>1330</v>
      </c>
      <c r="I7" s="799" t="s">
        <v>1331</v>
      </c>
      <c r="J7" s="800" t="s">
        <v>1332</v>
      </c>
    </row>
    <row r="8" spans="1:14" ht="31">
      <c r="A8" s="791">
        <v>1</v>
      </c>
      <c r="B8" s="792" t="s">
        <v>1333</v>
      </c>
      <c r="C8" s="793" t="s">
        <v>912</v>
      </c>
      <c r="D8" s="794" t="s">
        <v>1334</v>
      </c>
      <c r="E8" s="795"/>
      <c r="F8" s="794">
        <v>5</v>
      </c>
      <c r="G8" s="795" t="s">
        <v>1304</v>
      </c>
      <c r="H8" s="796" t="s">
        <v>1335</v>
      </c>
      <c r="I8" s="795"/>
      <c r="J8" s="797" t="s">
        <v>1336</v>
      </c>
    </row>
    <row r="9" spans="1:14" ht="31">
      <c r="A9" s="786">
        <v>2</v>
      </c>
      <c r="B9" s="779" t="s">
        <v>1337</v>
      </c>
      <c r="C9" s="778" t="s">
        <v>1338</v>
      </c>
      <c r="D9" s="751" t="s">
        <v>1443</v>
      </c>
      <c r="E9" s="752"/>
      <c r="F9" s="751">
        <v>3</v>
      </c>
      <c r="G9" s="752" t="s">
        <v>1304</v>
      </c>
      <c r="H9" s="778" t="s">
        <v>1339</v>
      </c>
      <c r="I9" s="752"/>
      <c r="J9" s="787" t="s">
        <v>1336</v>
      </c>
    </row>
    <row r="10" spans="1:14" ht="31">
      <c r="A10" s="786">
        <v>3</v>
      </c>
      <c r="B10" s="777" t="s">
        <v>892</v>
      </c>
      <c r="C10" s="780" t="s">
        <v>1340</v>
      </c>
      <c r="D10" s="781" t="s">
        <v>1334</v>
      </c>
      <c r="E10" s="781"/>
      <c r="F10" s="781">
        <v>3</v>
      </c>
      <c r="G10" s="752" t="s">
        <v>1304</v>
      </c>
      <c r="H10" s="778" t="s">
        <v>1341</v>
      </c>
      <c r="I10" s="752"/>
      <c r="J10" s="787" t="s">
        <v>1336</v>
      </c>
      <c r="N10" s="647">
        <v>188</v>
      </c>
    </row>
    <row r="11" spans="1:14" ht="29.25" customHeight="1">
      <c r="A11" s="786">
        <v>4</v>
      </c>
      <c r="B11" s="777" t="s">
        <v>1192</v>
      </c>
      <c r="C11" s="780" t="s">
        <v>918</v>
      </c>
      <c r="D11" s="781" t="s">
        <v>1334</v>
      </c>
      <c r="E11" s="752"/>
      <c r="F11" s="751">
        <v>4</v>
      </c>
      <c r="G11" s="752" t="s">
        <v>1304</v>
      </c>
      <c r="H11" s="752" t="s">
        <v>1342</v>
      </c>
      <c r="I11" s="752"/>
      <c r="J11" s="787" t="s">
        <v>1336</v>
      </c>
      <c r="N11" s="647">
        <v>3.9</v>
      </c>
    </row>
    <row r="12" spans="1:14" ht="31">
      <c r="A12" s="786">
        <v>5</v>
      </c>
      <c r="B12" s="777" t="s">
        <v>1343</v>
      </c>
      <c r="C12" s="780" t="s">
        <v>1344</v>
      </c>
      <c r="D12" s="781" t="s">
        <v>1334</v>
      </c>
      <c r="E12" s="752"/>
      <c r="F12" s="751">
        <v>5</v>
      </c>
      <c r="G12" s="777" t="s">
        <v>1251</v>
      </c>
      <c r="H12" s="778" t="s">
        <v>1345</v>
      </c>
      <c r="I12" s="752"/>
      <c r="J12" s="788">
        <v>2022</v>
      </c>
      <c r="N12" s="647">
        <v>4.2</v>
      </c>
    </row>
    <row r="13" spans="1:14" ht="31">
      <c r="A13" s="786">
        <v>6</v>
      </c>
      <c r="B13" s="777" t="s">
        <v>1346</v>
      </c>
      <c r="C13" s="780" t="s">
        <v>1251</v>
      </c>
      <c r="D13" s="781" t="s">
        <v>1334</v>
      </c>
      <c r="E13" s="752"/>
      <c r="F13" s="751">
        <v>3</v>
      </c>
      <c r="G13" s="752" t="s">
        <v>1251</v>
      </c>
      <c r="H13" s="778" t="s">
        <v>1345</v>
      </c>
      <c r="I13" s="752"/>
      <c r="J13" s="788">
        <v>2022</v>
      </c>
      <c r="N13" s="647">
        <v>7.8</v>
      </c>
    </row>
    <row r="14" spans="1:14" s="134" customFormat="1" ht="31">
      <c r="A14" s="786">
        <v>7</v>
      </c>
      <c r="B14" s="779" t="s">
        <v>1347</v>
      </c>
      <c r="C14" s="777" t="s">
        <v>769</v>
      </c>
      <c r="D14" s="782" t="s">
        <v>1334</v>
      </c>
      <c r="E14" s="777"/>
      <c r="F14" s="761">
        <v>4</v>
      </c>
      <c r="G14" s="777" t="s">
        <v>1251</v>
      </c>
      <c r="H14" s="783" t="s">
        <v>1348</v>
      </c>
      <c r="I14" s="784"/>
      <c r="J14" s="788">
        <v>2022</v>
      </c>
      <c r="N14" s="134">
        <v>2.6</v>
      </c>
    </row>
    <row r="15" spans="1:14" s="200" customFormat="1" ht="46.5">
      <c r="A15" s="786">
        <v>8</v>
      </c>
      <c r="B15" s="777" t="s">
        <v>1349</v>
      </c>
      <c r="C15" s="777" t="s">
        <v>781</v>
      </c>
      <c r="D15" s="782" t="s">
        <v>1334</v>
      </c>
      <c r="E15" s="777"/>
      <c r="F15" s="761">
        <v>4</v>
      </c>
      <c r="G15" s="777" t="s">
        <v>1251</v>
      </c>
      <c r="H15" s="783" t="s">
        <v>1350</v>
      </c>
      <c r="I15" s="767" t="s">
        <v>1351</v>
      </c>
      <c r="J15" s="787" t="s">
        <v>1336</v>
      </c>
      <c r="N15" s="200">
        <f>SUM(N10:N14)</f>
        <v>206.5</v>
      </c>
    </row>
    <row r="16" spans="1:14" ht="56.25" customHeight="1">
      <c r="A16" s="786">
        <v>9</v>
      </c>
      <c r="B16" s="779" t="s">
        <v>1352</v>
      </c>
      <c r="C16" s="780" t="s">
        <v>781</v>
      </c>
      <c r="D16" s="781" t="s">
        <v>1334</v>
      </c>
      <c r="E16" s="778"/>
      <c r="F16" s="781">
        <v>3</v>
      </c>
      <c r="G16" s="777" t="s">
        <v>1251</v>
      </c>
      <c r="H16" s="778" t="s">
        <v>1353</v>
      </c>
      <c r="I16" s="752"/>
      <c r="J16" s="788">
        <v>2022</v>
      </c>
    </row>
    <row r="17" spans="1:10" s="650" customFormat="1" ht="46.5">
      <c r="A17" s="786">
        <v>10</v>
      </c>
      <c r="B17" s="779" t="s">
        <v>1354</v>
      </c>
      <c r="C17" s="785" t="s">
        <v>1354</v>
      </c>
      <c r="D17" s="761" t="s">
        <v>1443</v>
      </c>
      <c r="E17" s="777"/>
      <c r="F17" s="761">
        <v>3</v>
      </c>
      <c r="G17" s="1550" t="s">
        <v>1356</v>
      </c>
      <c r="H17" s="777" t="s">
        <v>1355</v>
      </c>
      <c r="I17" s="779" t="s">
        <v>1464</v>
      </c>
      <c r="J17" s="1294" t="s">
        <v>1454</v>
      </c>
    </row>
    <row r="18" spans="1:10" s="650" customFormat="1" ht="46.5">
      <c r="A18" s="786">
        <v>11</v>
      </c>
      <c r="B18" s="1550" t="s">
        <v>1455</v>
      </c>
      <c r="C18" s="1550" t="s">
        <v>941</v>
      </c>
      <c r="D18" s="1551" t="s">
        <v>1334</v>
      </c>
      <c r="E18" s="1552" t="s">
        <v>1456</v>
      </c>
      <c r="F18" s="1553">
        <v>4</v>
      </c>
      <c r="G18" s="1550" t="s">
        <v>1356</v>
      </c>
      <c r="H18" s="1552" t="s">
        <v>1457</v>
      </c>
      <c r="I18" s="1552" t="s">
        <v>1458</v>
      </c>
      <c r="J18" s="1553" t="s">
        <v>1459</v>
      </c>
    </row>
    <row r="19" spans="1:10" s="650" customFormat="1" ht="39.75" customHeight="1">
      <c r="A19" s="786">
        <v>12</v>
      </c>
      <c r="B19" s="1550" t="s">
        <v>1460</v>
      </c>
      <c r="C19" s="1550" t="s">
        <v>1357</v>
      </c>
      <c r="D19" s="1551" t="s">
        <v>1334</v>
      </c>
      <c r="E19" s="1550" t="s">
        <v>1461</v>
      </c>
      <c r="F19" s="1553">
        <v>3</v>
      </c>
      <c r="G19" s="1550" t="s">
        <v>1356</v>
      </c>
      <c r="H19" s="1552" t="s">
        <v>1462</v>
      </c>
      <c r="I19" s="1552" t="s">
        <v>1465</v>
      </c>
      <c r="J19" s="1553" t="s">
        <v>1459</v>
      </c>
    </row>
    <row r="20" spans="1:10" s="650" customFormat="1" ht="46.5" customHeight="1">
      <c r="A20" s="786">
        <v>13</v>
      </c>
      <c r="B20" s="1550" t="s">
        <v>1392</v>
      </c>
      <c r="C20" s="1550" t="s">
        <v>845</v>
      </c>
      <c r="D20" s="1550" t="s">
        <v>1334</v>
      </c>
      <c r="E20" s="1550" t="s">
        <v>1393</v>
      </c>
      <c r="F20" s="1553">
        <v>3</v>
      </c>
      <c r="G20" s="1550" t="s">
        <v>1394</v>
      </c>
      <c r="H20" s="1550" t="s">
        <v>1395</v>
      </c>
      <c r="I20" s="1550" t="s">
        <v>1396</v>
      </c>
      <c r="J20" s="1554" t="s">
        <v>1463</v>
      </c>
    </row>
    <row r="21" spans="1:10" ht="27" customHeight="1" thickBot="1">
      <c r="A21" s="789"/>
      <c r="B21" s="790" t="s">
        <v>676</v>
      </c>
      <c r="C21" s="775"/>
      <c r="D21" s="775"/>
      <c r="E21" s="775"/>
      <c r="F21" s="1246">
        <f>SUM(F8:F20)</f>
        <v>47</v>
      </c>
      <c r="G21" s="775"/>
      <c r="H21" s="775"/>
      <c r="I21" s="775"/>
      <c r="J21" s="776"/>
    </row>
    <row r="22" spans="1:10">
      <c r="A22" s="649"/>
      <c r="B22" s="649"/>
      <c r="C22" s="645"/>
      <c r="D22" s="651"/>
      <c r="E22" s="651"/>
      <c r="F22" s="1496" t="s">
        <v>1358</v>
      </c>
      <c r="G22" s="1496"/>
      <c r="H22" s="1496"/>
      <c r="I22" s="1496"/>
      <c r="J22" s="1496"/>
    </row>
    <row r="23" spans="1:10">
      <c r="A23" s="645"/>
      <c r="B23" s="645"/>
      <c r="C23" s="644"/>
      <c r="D23" s="646"/>
      <c r="E23" s="644"/>
      <c r="F23" s="1497" t="s">
        <v>1427</v>
      </c>
      <c r="G23" s="1497"/>
      <c r="H23" s="1497"/>
      <c r="I23" s="1497"/>
      <c r="J23" s="1497"/>
    </row>
    <row r="24" spans="1:10">
      <c r="F24" s="1224"/>
      <c r="G24" s="1224"/>
      <c r="H24" s="1224"/>
      <c r="I24" s="1224"/>
      <c r="J24" s="1224"/>
    </row>
    <row r="25" spans="1:10">
      <c r="F25" s="1224"/>
      <c r="G25" s="1224"/>
      <c r="H25" s="1224"/>
      <c r="I25" s="1224"/>
      <c r="J25" s="1224"/>
    </row>
    <row r="26" spans="1:10">
      <c r="F26" s="1224"/>
      <c r="G26" s="1224"/>
      <c r="H26" s="1224"/>
      <c r="I26" s="1224"/>
      <c r="J26" s="1224"/>
    </row>
    <row r="27" spans="1:10">
      <c r="F27" s="1224"/>
      <c r="G27" s="1224"/>
      <c r="H27" s="1224"/>
      <c r="I27" s="1224"/>
      <c r="J27" s="1224"/>
    </row>
    <row r="28" spans="1:10">
      <c r="F28" s="1492" t="s">
        <v>1428</v>
      </c>
      <c r="G28" s="1492"/>
      <c r="H28" s="1492"/>
      <c r="I28" s="1492"/>
      <c r="J28" s="1492"/>
    </row>
  </sheetData>
  <mergeCells count="7">
    <mergeCell ref="F28:J28"/>
    <mergeCell ref="A1:B1"/>
    <mergeCell ref="C1:I2"/>
    <mergeCell ref="A2:B2"/>
    <mergeCell ref="F22:J22"/>
    <mergeCell ref="F23:J23"/>
    <mergeCell ref="C3:I6"/>
  </mergeCells>
  <pageMargins left="0" right="0" top="0" bottom="0" header="0" footer="0"/>
  <pageSetup scale="8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election activeCell="G21" sqref="G21"/>
    </sheetView>
  </sheetViews>
  <sheetFormatPr defaultColWidth="9" defaultRowHeight="15.5"/>
  <cols>
    <col min="1" max="1" width="5.08203125" style="109" customWidth="1"/>
    <col min="2" max="2" width="34.4140625" style="109" customWidth="1"/>
    <col min="3" max="3" width="9.4140625" style="109" customWidth="1"/>
    <col min="4" max="5" width="11" style="109" customWidth="1"/>
    <col min="6" max="6" width="11.4140625" style="109" customWidth="1"/>
    <col min="7" max="7" width="14" style="109" customWidth="1"/>
    <col min="8" max="16384" width="9" style="109"/>
  </cols>
  <sheetData>
    <row r="1" spans="1:7">
      <c r="A1" s="1499" t="s">
        <v>0</v>
      </c>
      <c r="B1" s="1499"/>
      <c r="C1" s="108"/>
      <c r="G1" s="95" t="s">
        <v>303</v>
      </c>
    </row>
    <row r="2" spans="1:7">
      <c r="A2" s="1303" t="s">
        <v>304</v>
      </c>
      <c r="B2" s="1303"/>
      <c r="C2" s="52"/>
    </row>
    <row r="3" spans="1:7" ht="47.25" customHeight="1">
      <c r="A3" s="1500" t="s">
        <v>305</v>
      </c>
      <c r="B3" s="1303"/>
      <c r="C3" s="1303"/>
      <c r="D3" s="1303"/>
      <c r="E3" s="1303"/>
      <c r="F3" s="1303"/>
      <c r="G3" s="1303"/>
    </row>
    <row r="4" spans="1:7" ht="16" thickBot="1">
      <c r="F4" s="1367" t="s">
        <v>306</v>
      </c>
      <c r="G4" s="1367"/>
    </row>
    <row r="5" spans="1:7" s="52" customFormat="1" ht="61" thickTop="1" thickBot="1">
      <c r="A5" s="110" t="s">
        <v>307</v>
      </c>
      <c r="B5" s="111" t="s">
        <v>308</v>
      </c>
      <c r="C5" s="112" t="s">
        <v>309</v>
      </c>
      <c r="D5" s="112" t="s">
        <v>310</v>
      </c>
      <c r="E5" s="112" t="s">
        <v>311</v>
      </c>
      <c r="F5" s="112" t="s">
        <v>280</v>
      </c>
      <c r="G5" s="113" t="s">
        <v>16</v>
      </c>
    </row>
    <row r="6" spans="1:7" s="118" customFormat="1" ht="38.25" customHeight="1" thickTop="1">
      <c r="A6" s="114" t="s">
        <v>19</v>
      </c>
      <c r="B6" s="375" t="s">
        <v>628</v>
      </c>
      <c r="C6" s="115"/>
      <c r="D6" s="116"/>
      <c r="E6" s="116"/>
      <c r="F6" s="115"/>
      <c r="G6" s="117"/>
    </row>
    <row r="7" spans="1:7">
      <c r="A7" s="119"/>
      <c r="B7" s="120"/>
      <c r="C7" s="120"/>
      <c r="D7" s="121"/>
      <c r="E7" s="121"/>
      <c r="F7" s="122"/>
      <c r="G7" s="123"/>
    </row>
    <row r="8" spans="1:7">
      <c r="A8" s="119"/>
      <c r="B8" s="124"/>
      <c r="C8" s="124"/>
      <c r="D8" s="121"/>
      <c r="E8" s="121"/>
      <c r="F8" s="122"/>
      <c r="G8" s="123"/>
    </row>
    <row r="9" spans="1:7">
      <c r="A9" s="119"/>
      <c r="B9" s="124"/>
      <c r="C9" s="124"/>
      <c r="D9" s="121"/>
      <c r="E9" s="121"/>
      <c r="F9" s="122"/>
      <c r="G9" s="123"/>
    </row>
    <row r="10" spans="1:7">
      <c r="A10" s="114" t="s">
        <v>41</v>
      </c>
      <c r="B10" s="125" t="s">
        <v>629</v>
      </c>
      <c r="C10" s="125"/>
      <c r="D10" s="121"/>
      <c r="E10" s="121"/>
      <c r="F10" s="122"/>
      <c r="G10" s="123"/>
    </row>
    <row r="11" spans="1:7">
      <c r="A11" s="119"/>
      <c r="B11" s="124"/>
      <c r="C11" s="124"/>
      <c r="D11" s="121"/>
      <c r="E11" s="121"/>
      <c r="F11" s="122"/>
      <c r="G11" s="123"/>
    </row>
    <row r="12" spans="1:7">
      <c r="A12" s="119"/>
      <c r="B12" s="124"/>
      <c r="C12" s="124"/>
      <c r="D12" s="121"/>
      <c r="E12" s="121"/>
      <c r="F12" s="122"/>
      <c r="G12" s="123"/>
    </row>
    <row r="13" spans="1:7">
      <c r="A13" s="119"/>
      <c r="B13" s="124"/>
      <c r="C13" s="124"/>
      <c r="D13" s="116"/>
      <c r="E13" s="116"/>
      <c r="F13" s="122"/>
      <c r="G13" s="123"/>
    </row>
    <row r="14" spans="1:7">
      <c r="A14" s="114" t="s">
        <v>113</v>
      </c>
      <c r="B14" s="115" t="s">
        <v>627</v>
      </c>
      <c r="C14" s="118"/>
      <c r="F14" s="122"/>
      <c r="G14" s="123"/>
    </row>
    <row r="15" spans="1:7">
      <c r="A15" s="119"/>
      <c r="B15" s="122"/>
      <c r="C15" s="122"/>
      <c r="D15" s="116"/>
      <c r="E15" s="116"/>
      <c r="F15" s="122"/>
      <c r="G15" s="123"/>
    </row>
    <row r="16" spans="1:7">
      <c r="A16" s="119"/>
      <c r="B16" s="122"/>
      <c r="C16" s="122"/>
      <c r="D16" s="116"/>
      <c r="E16" s="116"/>
      <c r="F16" s="122"/>
      <c r="G16" s="123"/>
    </row>
    <row r="17" spans="1:7">
      <c r="A17" s="114" t="s">
        <v>300</v>
      </c>
      <c r="B17" s="115" t="s">
        <v>624</v>
      </c>
      <c r="C17" s="122"/>
      <c r="D17" s="116"/>
      <c r="E17" s="116"/>
      <c r="F17" s="122"/>
      <c r="G17" s="123"/>
    </row>
    <row r="18" spans="1:7">
      <c r="A18" s="114"/>
      <c r="B18" s="115"/>
      <c r="C18" s="122"/>
      <c r="D18" s="116"/>
      <c r="E18" s="116"/>
      <c r="F18" s="122"/>
      <c r="G18" s="123"/>
    </row>
    <row r="19" spans="1:7">
      <c r="A19" s="114"/>
      <c r="B19" s="115"/>
      <c r="C19" s="122"/>
      <c r="D19" s="116"/>
      <c r="E19" s="116"/>
      <c r="F19" s="122"/>
      <c r="G19" s="123"/>
    </row>
    <row r="20" spans="1:7">
      <c r="A20" s="114" t="s">
        <v>301</v>
      </c>
      <c r="B20" s="115" t="s">
        <v>625</v>
      </c>
      <c r="C20" s="122"/>
      <c r="D20" s="116"/>
      <c r="E20" s="116"/>
      <c r="F20" s="122"/>
      <c r="G20" s="123"/>
    </row>
    <row r="21" spans="1:7">
      <c r="A21" s="119"/>
      <c r="B21" s="115"/>
      <c r="C21" s="122"/>
      <c r="D21" s="116"/>
      <c r="E21" s="116"/>
      <c r="F21" s="122"/>
      <c r="G21" s="123"/>
    </row>
    <row r="22" spans="1:7">
      <c r="A22" s="119"/>
      <c r="B22" s="115"/>
      <c r="C22" s="122"/>
      <c r="D22" s="116"/>
      <c r="E22" s="116"/>
      <c r="F22" s="122"/>
      <c r="G22" s="123"/>
    </row>
    <row r="23" spans="1:7">
      <c r="A23" s="114" t="s">
        <v>302</v>
      </c>
      <c r="B23" s="115" t="s">
        <v>626</v>
      </c>
      <c r="C23" s="122"/>
      <c r="D23" s="116"/>
      <c r="E23" s="116"/>
      <c r="F23" s="122"/>
      <c r="G23" s="123"/>
    </row>
    <row r="24" spans="1:7">
      <c r="A24" s="119"/>
      <c r="B24" s="122"/>
      <c r="C24" s="122"/>
      <c r="D24" s="116"/>
      <c r="E24" s="116"/>
      <c r="F24" s="122"/>
      <c r="G24" s="123"/>
    </row>
    <row r="25" spans="1:7" s="118" customFormat="1">
      <c r="A25" s="119"/>
      <c r="B25" s="122"/>
      <c r="C25" s="122"/>
      <c r="D25" s="126"/>
      <c r="E25" s="126"/>
      <c r="F25" s="122"/>
      <c r="G25" s="117"/>
    </row>
    <row r="26" spans="1:7">
      <c r="A26" s="127"/>
      <c r="B26" s="124"/>
      <c r="C26" s="124"/>
      <c r="D26" s="116"/>
      <c r="E26" s="116"/>
      <c r="F26" s="122"/>
      <c r="G26" s="123"/>
    </row>
    <row r="27" spans="1:7" ht="16" thickBot="1">
      <c r="A27" s="128"/>
      <c r="B27" s="129" t="s">
        <v>313</v>
      </c>
      <c r="C27" s="130"/>
      <c r="D27" s="131"/>
      <c r="E27" s="131"/>
      <c r="F27" s="130">
        <f>SUM(F6:F26)</f>
        <v>0</v>
      </c>
      <c r="G27" s="132"/>
    </row>
    <row r="28" spans="1:7" s="133" customFormat="1" ht="16" thickTop="1">
      <c r="D28" s="1501" t="s">
        <v>314</v>
      </c>
      <c r="E28" s="1501"/>
      <c r="F28" s="1501"/>
      <c r="G28" s="1501"/>
    </row>
    <row r="29" spans="1:7">
      <c r="B29" s="1498"/>
      <c r="C29" s="1498"/>
      <c r="D29" s="1498"/>
      <c r="E29" s="1500" t="s">
        <v>43</v>
      </c>
      <c r="F29" s="1500"/>
      <c r="G29" s="1500"/>
    </row>
    <row r="30" spans="1:7">
      <c r="A30" s="118" t="s">
        <v>221</v>
      </c>
    </row>
    <row r="31" spans="1:7" ht="31.5" customHeight="1">
      <c r="A31" s="109" t="s">
        <v>315</v>
      </c>
    </row>
    <row r="32" spans="1:7" ht="45.75" customHeight="1">
      <c r="A32" s="109" t="s">
        <v>316</v>
      </c>
    </row>
  </sheetData>
  <mergeCells count="7">
    <mergeCell ref="B29:D29"/>
    <mergeCell ref="A1:B1"/>
    <mergeCell ref="A2:B2"/>
    <mergeCell ref="A3:G3"/>
    <mergeCell ref="F4:G4"/>
    <mergeCell ref="D28:G28"/>
    <mergeCell ref="E29:G29"/>
  </mergeCells>
  <pageMargins left="0.7" right="0.19" top="0.75" bottom="0.75" header="0.3" footer="0.3"/>
  <pageSetup paperSize="9" scale="97"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E25"/>
  <sheetViews>
    <sheetView topLeftCell="A7" zoomScale="80" zoomScaleNormal="80" workbookViewId="0">
      <selection activeCell="AA12" sqref="AA12"/>
    </sheetView>
  </sheetViews>
  <sheetFormatPr defaultColWidth="9" defaultRowHeight="15.5"/>
  <cols>
    <col min="1" max="1" width="5.08203125" style="109" customWidth="1"/>
    <col min="2" max="2" width="27.33203125" style="109" customWidth="1"/>
    <col min="3" max="3" width="17.4140625" style="109" customWidth="1"/>
    <col min="4" max="4" width="10.08203125" style="109" customWidth="1"/>
    <col min="5" max="5" width="8.33203125" style="109" customWidth="1"/>
    <col min="6" max="6" width="12.58203125" style="109" customWidth="1"/>
    <col min="7" max="7" width="9.4140625" style="109" customWidth="1"/>
    <col min="8" max="8" width="9.6640625" style="109" customWidth="1"/>
    <col min="9" max="9" width="8.9140625" style="109" customWidth="1"/>
    <col min="10" max="10" width="11.6640625" style="109" customWidth="1"/>
    <col min="11" max="11" width="12" style="109" customWidth="1"/>
    <col min="12" max="12" width="10.4140625" style="109" customWidth="1"/>
    <col min="13" max="13" width="10.9140625" style="109" customWidth="1"/>
    <col min="14" max="14" width="14" style="109" customWidth="1"/>
    <col min="15" max="15" width="10.08203125" style="109" customWidth="1"/>
    <col min="16" max="16" width="19.08203125" style="109" customWidth="1"/>
    <col min="17" max="18" width="10.08203125" style="109" customWidth="1"/>
    <col min="19" max="19" width="11.33203125" style="109" customWidth="1"/>
    <col min="20" max="20" width="10.08203125" style="109" customWidth="1"/>
    <col min="21" max="21" width="10.33203125" style="109" customWidth="1"/>
    <col min="22" max="22" width="10.08203125" style="109" customWidth="1"/>
    <col min="23" max="23" width="12.6640625" style="109" customWidth="1"/>
    <col min="24" max="24" width="10.08203125" style="109" customWidth="1"/>
    <col min="25" max="25" width="10.33203125" style="109" customWidth="1"/>
    <col min="26" max="26" width="10.08203125" style="109" customWidth="1"/>
    <col min="27" max="27" width="10.58203125" style="109" customWidth="1"/>
    <col min="28" max="28" width="13.08203125" style="109" customWidth="1"/>
    <col min="29" max="29" width="16.9140625" style="109" customWidth="1"/>
    <col min="30" max="30" width="11.4140625" style="109" customWidth="1"/>
    <col min="31" max="31" width="48" style="209" customWidth="1"/>
    <col min="32" max="16384" width="9" style="109"/>
  </cols>
  <sheetData>
    <row r="1" spans="1:31">
      <c r="A1" s="1499" t="s">
        <v>0</v>
      </c>
      <c r="B1" s="1499"/>
      <c r="C1" s="290"/>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D1" s="293" t="s">
        <v>611</v>
      </c>
    </row>
    <row r="2" spans="1:31">
      <c r="A2" s="1503" t="s">
        <v>1363</v>
      </c>
      <c r="B2" s="1503"/>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134"/>
    </row>
    <row r="3" spans="1:31" ht="35.25" customHeight="1">
      <c r="B3" s="301"/>
      <c r="C3" s="1384" t="s">
        <v>607</v>
      </c>
      <c r="D3" s="1384"/>
      <c r="E3" s="1384"/>
      <c r="F3" s="1384"/>
      <c r="G3" s="1384"/>
      <c r="H3" s="1384"/>
      <c r="I3" s="1384"/>
      <c r="J3" s="1384"/>
      <c r="K3" s="1384"/>
      <c r="L3" s="1384"/>
      <c r="M3" s="1384"/>
      <c r="N3" s="1384"/>
      <c r="O3" s="1384"/>
      <c r="P3" s="1384" t="s">
        <v>607</v>
      </c>
      <c r="Q3" s="1384"/>
      <c r="R3" s="1384"/>
      <c r="S3" s="1384"/>
      <c r="T3" s="1384"/>
      <c r="U3" s="1384"/>
      <c r="V3" s="1384"/>
      <c r="W3" s="1384"/>
      <c r="X3" s="1384"/>
      <c r="Y3" s="1384"/>
      <c r="Z3" s="1384"/>
      <c r="AA3" s="1384"/>
      <c r="AB3" s="1384"/>
      <c r="AC3" s="301"/>
      <c r="AD3" s="301"/>
    </row>
    <row r="4" spans="1:31" ht="16" thickBot="1">
      <c r="AD4" s="291"/>
    </row>
    <row r="5" spans="1:31" s="285" customFormat="1" ht="32.25" customHeight="1" thickTop="1">
      <c r="A5" s="1504" t="s">
        <v>307</v>
      </c>
      <c r="B5" s="1504" t="s">
        <v>6</v>
      </c>
      <c r="C5" s="1516" t="s">
        <v>1408</v>
      </c>
      <c r="D5" s="1517"/>
      <c r="E5" s="1517"/>
      <c r="F5" s="1517"/>
      <c r="G5" s="1517"/>
      <c r="H5" s="1517"/>
      <c r="I5" s="1517"/>
      <c r="J5" s="1517"/>
      <c r="K5" s="1517"/>
      <c r="L5" s="1517"/>
      <c r="M5" s="1517"/>
      <c r="N5" s="1517"/>
      <c r="O5" s="1518"/>
      <c r="P5" s="1519" t="s">
        <v>669</v>
      </c>
      <c r="Q5" s="1520"/>
      <c r="R5" s="1520"/>
      <c r="S5" s="1520"/>
      <c r="T5" s="1520"/>
      <c r="U5" s="1520"/>
      <c r="V5" s="1520"/>
      <c r="W5" s="1520"/>
      <c r="X5" s="1520"/>
      <c r="Y5" s="1520"/>
      <c r="Z5" s="1520"/>
      <c r="AA5" s="1520"/>
      <c r="AB5" s="1521"/>
      <c r="AC5" s="1508" t="s">
        <v>678</v>
      </c>
      <c r="AD5" s="1511" t="s">
        <v>16</v>
      </c>
      <c r="AE5" s="289"/>
    </row>
    <row r="6" spans="1:31" s="285" customFormat="1" ht="140.25" customHeight="1">
      <c r="A6" s="1505"/>
      <c r="B6" s="1505"/>
      <c r="C6" s="1514" t="s">
        <v>1409</v>
      </c>
      <c r="D6" s="1507" t="s">
        <v>513</v>
      </c>
      <c r="E6" s="1507"/>
      <c r="F6" s="1507" t="s">
        <v>519</v>
      </c>
      <c r="G6" s="1507"/>
      <c r="H6" s="1507" t="s">
        <v>520</v>
      </c>
      <c r="I6" s="1507"/>
      <c r="J6" s="1507" t="s">
        <v>521</v>
      </c>
      <c r="K6" s="1507"/>
      <c r="L6" s="1507" t="s">
        <v>522</v>
      </c>
      <c r="M6" s="1507"/>
      <c r="N6" s="1507" t="s">
        <v>518</v>
      </c>
      <c r="O6" s="1507"/>
      <c r="P6" s="1522" t="s">
        <v>695</v>
      </c>
      <c r="Q6" s="1524" t="s">
        <v>513</v>
      </c>
      <c r="R6" s="1524"/>
      <c r="S6" s="1524" t="s">
        <v>519</v>
      </c>
      <c r="T6" s="1524"/>
      <c r="U6" s="1524" t="s">
        <v>520</v>
      </c>
      <c r="V6" s="1524"/>
      <c r="W6" s="1524" t="s">
        <v>521</v>
      </c>
      <c r="X6" s="1524"/>
      <c r="Y6" s="1524" t="s">
        <v>522</v>
      </c>
      <c r="Z6" s="1524"/>
      <c r="AA6" s="1524" t="s">
        <v>518</v>
      </c>
      <c r="AB6" s="1524"/>
      <c r="AC6" s="1509"/>
      <c r="AD6" s="1512"/>
      <c r="AE6" s="289"/>
    </row>
    <row r="7" spans="1:31" s="285" customFormat="1" ht="186" customHeight="1">
      <c r="A7" s="1506"/>
      <c r="B7" s="1506"/>
      <c r="C7" s="1515"/>
      <c r="D7" s="1225" t="s">
        <v>660</v>
      </c>
      <c r="E7" s="1225" t="s">
        <v>659</v>
      </c>
      <c r="F7" s="1225" t="s">
        <v>657</v>
      </c>
      <c r="G7" s="1225" t="s">
        <v>658</v>
      </c>
      <c r="H7" s="1225" t="s">
        <v>661</v>
      </c>
      <c r="I7" s="1225" t="s">
        <v>662</v>
      </c>
      <c r="J7" s="1225" t="s">
        <v>663</v>
      </c>
      <c r="K7" s="1225" t="s">
        <v>664</v>
      </c>
      <c r="L7" s="1225" t="s">
        <v>665</v>
      </c>
      <c r="M7" s="1225" t="s">
        <v>666</v>
      </c>
      <c r="N7" s="1225" t="s">
        <v>667</v>
      </c>
      <c r="O7" s="1225" t="s">
        <v>668</v>
      </c>
      <c r="P7" s="1523"/>
      <c r="Q7" s="196" t="s">
        <v>660</v>
      </c>
      <c r="R7" s="196" t="s">
        <v>659</v>
      </c>
      <c r="S7" s="196" t="s">
        <v>657</v>
      </c>
      <c r="T7" s="196" t="s">
        <v>658</v>
      </c>
      <c r="U7" s="196" t="s">
        <v>661</v>
      </c>
      <c r="V7" s="196" t="s">
        <v>662</v>
      </c>
      <c r="W7" s="196" t="s">
        <v>663</v>
      </c>
      <c r="X7" s="196" t="s">
        <v>664</v>
      </c>
      <c r="Y7" s="196" t="s">
        <v>665</v>
      </c>
      <c r="Z7" s="196" t="s">
        <v>666</v>
      </c>
      <c r="AA7" s="196" t="s">
        <v>667</v>
      </c>
      <c r="AB7" s="196" t="s">
        <v>668</v>
      </c>
      <c r="AC7" s="1510"/>
      <c r="AD7" s="1513"/>
      <c r="AE7" s="289"/>
    </row>
    <row r="8" spans="1:31" s="289" customFormat="1" ht="102" customHeight="1">
      <c r="A8" s="377" t="s">
        <v>139</v>
      </c>
      <c r="B8" s="377" t="s">
        <v>140</v>
      </c>
      <c r="C8" s="1226" t="s">
        <v>694</v>
      </c>
      <c r="D8" s="387" t="s">
        <v>142</v>
      </c>
      <c r="E8" s="387" t="s">
        <v>143</v>
      </c>
      <c r="F8" s="387" t="s">
        <v>193</v>
      </c>
      <c r="G8" s="387" t="s">
        <v>144</v>
      </c>
      <c r="H8" s="387" t="s">
        <v>194</v>
      </c>
      <c r="I8" s="387" t="s">
        <v>246</v>
      </c>
      <c r="J8" s="387" t="s">
        <v>145</v>
      </c>
      <c r="K8" s="387" t="s">
        <v>146</v>
      </c>
      <c r="L8" s="387" t="s">
        <v>147</v>
      </c>
      <c r="M8" s="387" t="s">
        <v>148</v>
      </c>
      <c r="N8" s="387" t="s">
        <v>149</v>
      </c>
      <c r="O8" s="387" t="s">
        <v>150</v>
      </c>
      <c r="P8" s="437" t="s">
        <v>696</v>
      </c>
      <c r="Q8" s="433" t="s">
        <v>152</v>
      </c>
      <c r="R8" s="433" t="s">
        <v>517</v>
      </c>
      <c r="S8" s="433" t="s">
        <v>682</v>
      </c>
      <c r="T8" s="433" t="s">
        <v>683</v>
      </c>
      <c r="U8" s="433" t="s">
        <v>684</v>
      </c>
      <c r="V8" s="433" t="s">
        <v>685</v>
      </c>
      <c r="W8" s="433" t="s">
        <v>686</v>
      </c>
      <c r="X8" s="433" t="s">
        <v>687</v>
      </c>
      <c r="Y8" s="433" t="s">
        <v>688</v>
      </c>
      <c r="Z8" s="433" t="s">
        <v>689</v>
      </c>
      <c r="AA8" s="433" t="s">
        <v>690</v>
      </c>
      <c r="AB8" s="433" t="s">
        <v>691</v>
      </c>
      <c r="AC8" s="436" t="s">
        <v>692</v>
      </c>
      <c r="AD8" s="378" t="s">
        <v>693</v>
      </c>
    </row>
    <row r="9" spans="1:31" s="118" customFormat="1">
      <c r="A9" s="300"/>
      <c r="B9" s="300" t="s">
        <v>318</v>
      </c>
      <c r="C9" s="388"/>
      <c r="D9" s="388"/>
      <c r="E9" s="388"/>
      <c r="F9" s="388"/>
      <c r="G9" s="388"/>
      <c r="H9" s="388"/>
      <c r="I9" s="388"/>
      <c r="J9" s="388"/>
      <c r="K9" s="388"/>
      <c r="L9" s="388"/>
      <c r="M9" s="388"/>
      <c r="N9" s="388"/>
      <c r="O9" s="388"/>
      <c r="P9" s="434"/>
      <c r="Q9" s="434"/>
      <c r="R9" s="434"/>
      <c r="S9" s="434"/>
      <c r="T9" s="434"/>
      <c r="U9" s="434"/>
      <c r="V9" s="434"/>
      <c r="W9" s="434"/>
      <c r="X9" s="434"/>
      <c r="Y9" s="434"/>
      <c r="Z9" s="434"/>
      <c r="AA9" s="434"/>
      <c r="AB9" s="743"/>
      <c r="AC9" s="749"/>
      <c r="AD9" s="745"/>
      <c r="AE9" s="100"/>
    </row>
    <row r="10" spans="1:31" s="118" customFormat="1" ht="30">
      <c r="A10" s="300" t="s">
        <v>17</v>
      </c>
      <c r="B10" s="296" t="s">
        <v>494</v>
      </c>
      <c r="C10" s="388"/>
      <c r="D10" s="388"/>
      <c r="E10" s="388"/>
      <c r="F10" s="388"/>
      <c r="G10" s="388"/>
      <c r="H10" s="388"/>
      <c r="I10" s="388"/>
      <c r="J10" s="388"/>
      <c r="K10" s="388"/>
      <c r="L10" s="388"/>
      <c r="M10" s="388"/>
      <c r="N10" s="388"/>
      <c r="O10" s="388"/>
      <c r="P10" s="434"/>
      <c r="Q10" s="434"/>
      <c r="R10" s="434"/>
      <c r="S10" s="434"/>
      <c r="T10" s="434"/>
      <c r="U10" s="434"/>
      <c r="V10" s="434"/>
      <c r="W10" s="434"/>
      <c r="X10" s="434"/>
      <c r="Y10" s="434"/>
      <c r="Z10" s="434"/>
      <c r="AA10" s="434"/>
      <c r="AB10" s="743"/>
      <c r="AC10" s="749"/>
      <c r="AD10" s="746"/>
      <c r="AE10" s="100"/>
    </row>
    <row r="11" spans="1:31" s="118" customFormat="1" ht="23.25" customHeight="1">
      <c r="A11" s="295" t="s">
        <v>19</v>
      </c>
      <c r="B11" s="300" t="s">
        <v>319</v>
      </c>
      <c r="C11" s="388"/>
      <c r="D11" s="388"/>
      <c r="E11" s="388"/>
      <c r="F11" s="388"/>
      <c r="G11" s="388"/>
      <c r="H11" s="388"/>
      <c r="I11" s="388"/>
      <c r="J11" s="388"/>
      <c r="K11" s="388"/>
      <c r="L11" s="388"/>
      <c r="M11" s="388"/>
      <c r="N11" s="388"/>
      <c r="O11" s="388"/>
      <c r="P11" s="434"/>
      <c r="Q11" s="434"/>
      <c r="R11" s="434"/>
      <c r="S11" s="434"/>
      <c r="T11" s="434"/>
      <c r="U11" s="434"/>
      <c r="V11" s="434"/>
      <c r="W11" s="434"/>
      <c r="X11" s="434"/>
      <c r="Y11" s="434"/>
      <c r="Z11" s="434"/>
      <c r="AA11" s="434"/>
      <c r="AB11" s="743"/>
      <c r="AC11" s="749"/>
      <c r="AD11" s="747"/>
      <c r="AE11" s="100"/>
    </row>
    <row r="12" spans="1:31" ht="24" customHeight="1">
      <c r="A12" s="295">
        <v>1</v>
      </c>
      <c r="B12" s="296" t="s">
        <v>320</v>
      </c>
      <c r="C12" s="1227">
        <f>F12*G12+N12*O12</f>
        <v>4488490</v>
      </c>
      <c r="D12" s="395"/>
      <c r="E12" s="395">
        <v>310</v>
      </c>
      <c r="F12" s="1228">
        <f>'Bieu 2a DH va tren DH'!H14+'Bieu 2a DH va tren DH'!H17</f>
        <v>9296.5</v>
      </c>
      <c r="G12" s="395">
        <v>310</v>
      </c>
      <c r="H12" s="395"/>
      <c r="I12" s="395">
        <v>380</v>
      </c>
      <c r="J12" s="395"/>
      <c r="K12" s="395">
        <v>380</v>
      </c>
      <c r="L12" s="395"/>
      <c r="M12" s="395">
        <v>380</v>
      </c>
      <c r="N12" s="1228">
        <f>'Bieu 2a DH va tren DH'!H20+'Bieu 2a DH va tren DH'!H23</f>
        <v>5182.5</v>
      </c>
      <c r="O12" s="395">
        <v>310</v>
      </c>
      <c r="P12" s="742">
        <f>+Q12*R12+S12*T12+U12*V12+W12*X12+Y12*Z12+AA12*AB12</f>
        <v>6456021.0000000009</v>
      </c>
      <c r="Q12" s="435"/>
      <c r="R12" s="435">
        <v>390</v>
      </c>
      <c r="S12" s="741">
        <f>'Bieu 2a DH va tren DH'!H15+'Bieu 2a DH va tren DH'!H18</f>
        <v>12113.900000000001</v>
      </c>
      <c r="T12" s="435">
        <v>390</v>
      </c>
      <c r="U12" s="435"/>
      <c r="V12" s="435">
        <v>430</v>
      </c>
      <c r="W12" s="435"/>
      <c r="X12" s="435">
        <v>480</v>
      </c>
      <c r="Y12" s="435"/>
      <c r="Z12" s="435">
        <v>480</v>
      </c>
      <c r="AA12" s="741">
        <f>'Bieu 2a DH va tren DH'!H21+'Bieu 2a DH va tren DH'!H24</f>
        <v>4440</v>
      </c>
      <c r="AB12" s="744">
        <v>390</v>
      </c>
      <c r="AC12" s="750">
        <f t="shared" ref="AC12:AC16" si="0">P12+C12</f>
        <v>10944511</v>
      </c>
      <c r="AD12" s="747"/>
    </row>
    <row r="13" spans="1:31">
      <c r="A13" s="295">
        <v>2</v>
      </c>
      <c r="B13" s="296" t="s">
        <v>321</v>
      </c>
      <c r="C13" s="1227">
        <f>D13*E13+F13*G13+H13*I13+J13*K13+L13*M13+N13*O13</f>
        <v>55490775</v>
      </c>
      <c r="D13" s="395"/>
      <c r="E13" s="395">
        <f>+E12*1.5</f>
        <v>465</v>
      </c>
      <c r="F13" s="1228">
        <f>'Bieu 2a DH va tren DH'!H42+'Bieu 2a DH va tren DH'!H45</f>
        <v>116000</v>
      </c>
      <c r="G13" s="395">
        <f>+G12*1.5</f>
        <v>465</v>
      </c>
      <c r="H13" s="395"/>
      <c r="I13" s="395">
        <f>+I12*1.5</f>
        <v>570</v>
      </c>
      <c r="J13" s="395"/>
      <c r="K13" s="395">
        <f>+K12*1.5</f>
        <v>570</v>
      </c>
      <c r="L13" s="395"/>
      <c r="M13" s="395">
        <f>+M12*1.5</f>
        <v>570</v>
      </c>
      <c r="N13" s="1228">
        <f>'Bieu 2a DH va tren DH'!H48+'Bieu 2a DH va tren DH'!H51</f>
        <v>3335</v>
      </c>
      <c r="O13" s="395">
        <f>+O12*1.5</f>
        <v>465</v>
      </c>
      <c r="P13" s="742">
        <f t="shared" ref="P13:P16" si="1">+Q13*R13+S13*T13+U13*V13+W13*X13+Y13*Z13+AA13*AB13</f>
        <v>57025800</v>
      </c>
      <c r="Q13" s="435"/>
      <c r="R13" s="435">
        <f>+R12*1.5</f>
        <v>585</v>
      </c>
      <c r="S13" s="741">
        <f>'Bieu 2a DH va tren DH'!H43+'Bieu 2a DH va tren DH'!H46</f>
        <v>95200</v>
      </c>
      <c r="T13" s="435">
        <f>+T12*1.5</f>
        <v>585</v>
      </c>
      <c r="U13" s="435"/>
      <c r="V13" s="435">
        <f>+V12*1.5</f>
        <v>645</v>
      </c>
      <c r="W13" s="435"/>
      <c r="X13" s="435">
        <f>+X12*1.5</f>
        <v>720</v>
      </c>
      <c r="Y13" s="435"/>
      <c r="Z13" s="435">
        <f>+Z12*1.5</f>
        <v>720</v>
      </c>
      <c r="AA13" s="741">
        <f>'Bieu 2a DH va tren DH'!H49+'Bieu 2a DH va tren DH'!H52</f>
        <v>2280</v>
      </c>
      <c r="AB13" s="744">
        <f>+AB12*1.5</f>
        <v>585</v>
      </c>
      <c r="AC13" s="750">
        <f t="shared" si="0"/>
        <v>112516575</v>
      </c>
      <c r="AD13" s="747"/>
    </row>
    <row r="14" spans="1:31">
      <c r="A14" s="295">
        <v>3</v>
      </c>
      <c r="B14" s="296" t="s">
        <v>322</v>
      </c>
      <c r="C14" s="1227">
        <f t="shared" ref="C14:C16" si="2">D14*E14+F14*G14+H14*I14+J14*K14+L14*M14+N14*O14</f>
        <v>1955325</v>
      </c>
      <c r="D14" s="395">
        <v>465</v>
      </c>
      <c r="E14" s="395">
        <f>+E12*1.5</f>
        <v>465</v>
      </c>
      <c r="F14" s="1228">
        <f>'Bieu 2a DH va tren DH'!H55+'Bieu 2a DH va tren DH'!H58</f>
        <v>3740</v>
      </c>
      <c r="G14" s="395">
        <f>+G12*1.5</f>
        <v>465</v>
      </c>
      <c r="H14" s="395"/>
      <c r="I14" s="395">
        <f>+I12*1.5</f>
        <v>570</v>
      </c>
      <c r="J14" s="395"/>
      <c r="K14" s="395">
        <f>+K12*1.5</f>
        <v>570</v>
      </c>
      <c r="L14" s="395"/>
      <c r="M14" s="395">
        <f>+M12*1.5</f>
        <v>570</v>
      </c>
      <c r="N14" s="395">
        <v>0</v>
      </c>
      <c r="O14" s="395">
        <f>+O12*1.5</f>
        <v>465</v>
      </c>
      <c r="P14" s="742">
        <f t="shared" si="1"/>
        <v>2840250</v>
      </c>
      <c r="Q14" s="435"/>
      <c r="R14" s="435">
        <v>465</v>
      </c>
      <c r="S14" s="741">
        <f>'Bieu 2a DH va tren DH'!H56+'Bieu 2a DH va tren DH'!H59</f>
        <v>4070</v>
      </c>
      <c r="T14" s="435">
        <v>465</v>
      </c>
      <c r="U14" s="435"/>
      <c r="V14" s="435">
        <v>465</v>
      </c>
      <c r="W14" s="435"/>
      <c r="X14" s="435">
        <v>465</v>
      </c>
      <c r="Y14" s="435"/>
      <c r="Z14" s="435">
        <f>+Z12*1.5</f>
        <v>720</v>
      </c>
      <c r="AA14" s="741">
        <f>'Bieu 2a DH va tren DH'!H34+'Bieu 2a DH va tren DH'!H37</f>
        <v>1620</v>
      </c>
      <c r="AB14" s="744">
        <f>+AB12*1.5</f>
        <v>585</v>
      </c>
      <c r="AC14" s="750">
        <f t="shared" si="0"/>
        <v>4795575</v>
      </c>
      <c r="AD14" s="747"/>
    </row>
    <row r="15" spans="1:31">
      <c r="A15" s="295">
        <v>4</v>
      </c>
      <c r="B15" s="296" t="s">
        <v>323</v>
      </c>
      <c r="C15" s="1227">
        <f>D15*E15+F15*G15+H15*I15+J15*K15+L15*M15+N15*O15</f>
        <v>1891155</v>
      </c>
      <c r="D15" s="395"/>
      <c r="E15" s="395">
        <f>+E12*1.5</f>
        <v>465</v>
      </c>
      <c r="F15" s="1228">
        <f>'Bieu 2a DH va tren DH'!H27+'Bieu 2a DH va tren DH'!H30</f>
        <v>2186</v>
      </c>
      <c r="G15" s="395">
        <f>+G12*1.5</f>
        <v>465</v>
      </c>
      <c r="H15" s="395"/>
      <c r="I15" s="395">
        <f>+I12*1.5</f>
        <v>570</v>
      </c>
      <c r="J15" s="395"/>
      <c r="K15" s="395">
        <f>+K12*1.5</f>
        <v>570</v>
      </c>
      <c r="L15" s="395"/>
      <c r="M15" s="395">
        <f>+M12*1.5</f>
        <v>570</v>
      </c>
      <c r="N15" s="1228">
        <f>'Bieu 2a DH va tren DH'!H33+'Bieu 2a DH va tren DH'!H36</f>
        <v>1881</v>
      </c>
      <c r="O15" s="395">
        <f>+O12*1.5</f>
        <v>465</v>
      </c>
      <c r="P15" s="742">
        <f t="shared" si="1"/>
        <v>1168830</v>
      </c>
      <c r="Q15" s="435"/>
      <c r="R15" s="435">
        <f>+R12*1.5</f>
        <v>585</v>
      </c>
      <c r="S15" s="741">
        <f>'Bieu 2a DH va tren DH'!H28+'Bieu 2a DH va tren DH'!H31</f>
        <v>1998</v>
      </c>
      <c r="T15" s="435">
        <f>+T12*1.5</f>
        <v>585</v>
      </c>
      <c r="U15" s="435"/>
      <c r="V15" s="435">
        <f>+V12*1.5</f>
        <v>645</v>
      </c>
      <c r="W15" s="435"/>
      <c r="X15" s="435">
        <f>+X12*1.5</f>
        <v>720</v>
      </c>
      <c r="Y15" s="435"/>
      <c r="Z15" s="435">
        <f>+Z12*1.5</f>
        <v>720</v>
      </c>
      <c r="AA15" s="435">
        <v>0</v>
      </c>
      <c r="AB15" s="744">
        <f>+AB12*1.5</f>
        <v>585</v>
      </c>
      <c r="AC15" s="750">
        <f t="shared" si="0"/>
        <v>3059985</v>
      </c>
      <c r="AD15" s="747"/>
    </row>
    <row r="16" spans="1:31" ht="21.75" customHeight="1">
      <c r="A16" s="295">
        <v>5</v>
      </c>
      <c r="B16" s="296" t="s">
        <v>324</v>
      </c>
      <c r="C16" s="1227">
        <f t="shared" si="2"/>
        <v>30225</v>
      </c>
      <c r="D16" s="395"/>
      <c r="E16" s="395">
        <f>+E12*2.5</f>
        <v>775</v>
      </c>
      <c r="F16" s="395">
        <v>0</v>
      </c>
      <c r="G16" s="395">
        <f>+G12*2.5</f>
        <v>775</v>
      </c>
      <c r="H16" s="395"/>
      <c r="I16" s="395">
        <f>+I12*2.5</f>
        <v>950</v>
      </c>
      <c r="J16" s="395"/>
      <c r="K16" s="395">
        <f>+K12*2.5</f>
        <v>950</v>
      </c>
      <c r="L16" s="395"/>
      <c r="M16" s="395">
        <f>+M12*2.5</f>
        <v>950</v>
      </c>
      <c r="N16" s="1228">
        <f>'Bieu 2a DH va tren DH'!H38</f>
        <v>39</v>
      </c>
      <c r="O16" s="395">
        <f>+O12*2.5</f>
        <v>775</v>
      </c>
      <c r="P16" s="742">
        <f t="shared" si="1"/>
        <v>0</v>
      </c>
      <c r="Q16" s="435"/>
      <c r="R16" s="435">
        <f>+R12*2.5</f>
        <v>975</v>
      </c>
      <c r="S16" s="435">
        <v>0</v>
      </c>
      <c r="T16" s="435">
        <f>+T12*2.5</f>
        <v>975</v>
      </c>
      <c r="U16" s="435"/>
      <c r="V16" s="435">
        <f>+V12*2.5</f>
        <v>1075</v>
      </c>
      <c r="W16" s="435"/>
      <c r="X16" s="435">
        <f>+X12*2.5</f>
        <v>1200</v>
      </c>
      <c r="Y16" s="435"/>
      <c r="Z16" s="435">
        <f>+Z12*2.5</f>
        <v>1200</v>
      </c>
      <c r="AA16" s="435">
        <v>0</v>
      </c>
      <c r="AB16" s="744">
        <f>+AB12*2.5</f>
        <v>975</v>
      </c>
      <c r="AC16" s="750">
        <f t="shared" si="0"/>
        <v>30225</v>
      </c>
      <c r="AD16" s="747"/>
    </row>
    <row r="17" spans="1:31" ht="28.5" customHeight="1">
      <c r="A17" s="376"/>
      <c r="B17" s="197" t="s">
        <v>1321</v>
      </c>
      <c r="C17" s="1229">
        <f>SUM(C12:C16)</f>
        <v>63855970</v>
      </c>
      <c r="D17" s="388"/>
      <c r="E17" s="388"/>
      <c r="F17" s="388"/>
      <c r="G17" s="388"/>
      <c r="H17" s="388"/>
      <c r="I17" s="388"/>
      <c r="J17" s="388"/>
      <c r="K17" s="388"/>
      <c r="L17" s="388"/>
      <c r="M17" s="388"/>
      <c r="N17" s="388"/>
      <c r="O17" s="388"/>
      <c r="P17" s="742">
        <f>SUM(P12:P16)</f>
        <v>67490901</v>
      </c>
      <c r="Q17" s="434"/>
      <c r="R17" s="434"/>
      <c r="S17" s="434"/>
      <c r="T17" s="434"/>
      <c r="U17" s="434"/>
      <c r="V17" s="434"/>
      <c r="W17" s="434"/>
      <c r="X17" s="434"/>
      <c r="Y17" s="434"/>
      <c r="Z17" s="434"/>
      <c r="AA17" s="434"/>
      <c r="AB17" s="743"/>
      <c r="AC17" s="750">
        <f>P17+C17</f>
        <v>131346871</v>
      </c>
      <c r="AD17" s="748"/>
    </row>
    <row r="18" spans="1:31" s="133" customFormat="1" ht="16.5" customHeight="1">
      <c r="K18" s="1502" t="s">
        <v>1436</v>
      </c>
      <c r="L18" s="1502"/>
      <c r="M18" s="1502"/>
      <c r="N18" s="1502"/>
      <c r="O18" s="1502"/>
      <c r="Y18" s="1502" t="s">
        <v>1436</v>
      </c>
      <c r="Z18" s="1502"/>
      <c r="AA18" s="1502"/>
      <c r="AB18" s="1502"/>
      <c r="AC18" s="1502"/>
      <c r="AD18" s="292"/>
      <c r="AE18" s="248"/>
    </row>
    <row r="19" spans="1:31">
      <c r="K19" s="1303" t="s">
        <v>1427</v>
      </c>
      <c r="L19" s="1303"/>
      <c r="M19" s="1303"/>
      <c r="N19" s="1303"/>
      <c r="O19" s="1303"/>
      <c r="Y19" s="1303" t="s">
        <v>1427</v>
      </c>
      <c r="Z19" s="1303"/>
      <c r="AA19" s="1303"/>
      <c r="AB19" s="1303"/>
      <c r="AC19" s="1303"/>
    </row>
    <row r="20" spans="1:31">
      <c r="K20" s="118"/>
      <c r="L20" s="118"/>
      <c r="M20" s="118"/>
      <c r="N20" s="118"/>
      <c r="O20" s="118"/>
      <c r="Y20" s="118"/>
      <c r="Z20" s="118"/>
      <c r="AA20" s="118"/>
      <c r="AB20" s="118"/>
      <c r="AC20" s="118"/>
    </row>
    <row r="21" spans="1:31">
      <c r="K21" s="118"/>
      <c r="L21" s="118"/>
      <c r="M21" s="118"/>
      <c r="N21" s="118"/>
      <c r="O21" s="118"/>
      <c r="Y21" s="118"/>
      <c r="Z21" s="118"/>
      <c r="AA21" s="118"/>
      <c r="AB21" s="118"/>
      <c r="AC21" s="118"/>
    </row>
    <row r="22" spans="1:31">
      <c r="K22" s="118"/>
      <c r="L22" s="118"/>
      <c r="M22" s="118"/>
      <c r="N22" s="118"/>
      <c r="O22" s="118"/>
      <c r="Y22" s="118"/>
      <c r="Z22" s="118"/>
      <c r="AA22" s="118"/>
      <c r="AB22" s="118"/>
      <c r="AC22" s="118"/>
    </row>
    <row r="23" spans="1:31">
      <c r="K23" s="118"/>
      <c r="L23" s="118"/>
      <c r="M23" s="118"/>
      <c r="N23" s="118"/>
      <c r="O23" s="118"/>
      <c r="Y23" s="118"/>
      <c r="Z23" s="118"/>
      <c r="AA23" s="118"/>
      <c r="AB23" s="118"/>
      <c r="AC23" s="118"/>
    </row>
    <row r="24" spans="1:31">
      <c r="K24" s="118"/>
      <c r="L24" s="118"/>
      <c r="M24" s="118"/>
      <c r="N24" s="118"/>
      <c r="O24" s="118"/>
      <c r="Y24" s="118"/>
      <c r="Z24" s="118"/>
      <c r="AA24" s="118"/>
      <c r="AB24" s="118"/>
      <c r="AC24" s="118"/>
    </row>
    <row r="25" spans="1:31">
      <c r="K25" s="1303" t="s">
        <v>1428</v>
      </c>
      <c r="L25" s="1303"/>
      <c r="M25" s="1303"/>
      <c r="N25" s="1303"/>
      <c r="O25" s="1303"/>
      <c r="Y25" s="1303" t="s">
        <v>1428</v>
      </c>
      <c r="Z25" s="1303"/>
      <c r="AA25" s="1303"/>
      <c r="AB25" s="1303"/>
      <c r="AC25" s="1303"/>
    </row>
  </sheetData>
  <mergeCells count="30">
    <mergeCell ref="K19:O19"/>
    <mergeCell ref="AD5:AD7"/>
    <mergeCell ref="C3:O3"/>
    <mergeCell ref="P3:AB3"/>
    <mergeCell ref="C6:C7"/>
    <mergeCell ref="C5:O5"/>
    <mergeCell ref="P5:AB5"/>
    <mergeCell ref="P6:P7"/>
    <mergeCell ref="Q6:R6"/>
    <mergeCell ref="S6:T6"/>
    <mergeCell ref="U6:V6"/>
    <mergeCell ref="W6:X6"/>
    <mergeCell ref="Y6:Z6"/>
    <mergeCell ref="AA6:AB6"/>
    <mergeCell ref="K25:O25"/>
    <mergeCell ref="Y18:AC18"/>
    <mergeCell ref="Y19:AC19"/>
    <mergeCell ref="Y25:AC25"/>
    <mergeCell ref="A1:B1"/>
    <mergeCell ref="A2:B2"/>
    <mergeCell ref="A5:A7"/>
    <mergeCell ref="B5:B7"/>
    <mergeCell ref="K18:O18"/>
    <mergeCell ref="D6:E6"/>
    <mergeCell ref="F6:G6"/>
    <mergeCell ref="H6:I6"/>
    <mergeCell ref="J6:K6"/>
    <mergeCell ref="L6:M6"/>
    <mergeCell ref="N6:O6"/>
    <mergeCell ref="AC5:AC7"/>
  </mergeCells>
  <pageMargins left="0.17" right="0.17" top="0.75" bottom="0.32" header="0.3" footer="0.3"/>
  <pageSetup paperSize="9" scale="60"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37"/>
  <sheetViews>
    <sheetView topLeftCell="A6" workbookViewId="0">
      <selection activeCell="J21" sqref="J21"/>
    </sheetView>
  </sheetViews>
  <sheetFormatPr defaultColWidth="9" defaultRowHeight="15.5"/>
  <cols>
    <col min="1" max="1" width="5.08203125" style="381" customWidth="1"/>
    <col min="2" max="2" width="52.4140625" style="381" customWidth="1"/>
    <col min="3" max="3" width="22.9140625" style="381" customWidth="1"/>
    <col min="4" max="4" width="8.4140625" style="381" bestFit="1" customWidth="1"/>
    <col min="5" max="5" width="10.08203125" style="381" customWidth="1"/>
    <col min="6" max="6" width="13" style="401" customWidth="1"/>
    <col min="7" max="7" width="17.4140625" style="381" customWidth="1"/>
    <col min="8" max="9" width="27.4140625" style="381" customWidth="1"/>
    <col min="10" max="10" width="15.4140625" style="381" customWidth="1"/>
    <col min="11" max="11" width="17" style="381" customWidth="1"/>
    <col min="12" max="12" width="24.08203125" style="381" customWidth="1"/>
    <col min="13" max="13" width="48" style="383" customWidth="1"/>
    <col min="14" max="16384" width="9" style="381"/>
  </cols>
  <sheetData>
    <row r="1" spans="1:13">
      <c r="A1" s="1525" t="s">
        <v>0</v>
      </c>
      <c r="B1" s="1525"/>
      <c r="C1" s="379"/>
      <c r="D1" s="379"/>
      <c r="E1" s="379"/>
      <c r="F1" s="399"/>
      <c r="G1" s="380"/>
      <c r="H1" s="380"/>
      <c r="I1" s="380"/>
      <c r="L1" s="382" t="s">
        <v>611</v>
      </c>
    </row>
    <row r="2" spans="1:13">
      <c r="A2" s="1340" t="s">
        <v>304</v>
      </c>
      <c r="B2" s="1340"/>
      <c r="C2" s="380"/>
      <c r="D2" s="380"/>
      <c r="E2" s="380"/>
      <c r="F2" s="400"/>
      <c r="G2" s="380"/>
      <c r="H2" s="380"/>
      <c r="I2" s="380"/>
      <c r="J2" s="384"/>
      <c r="K2" s="384"/>
    </row>
    <row r="3" spans="1:13" ht="35.25" customHeight="1">
      <c r="A3" s="1526" t="s">
        <v>697</v>
      </c>
      <c r="B3" s="1526"/>
      <c r="C3" s="1526"/>
      <c r="D3" s="1526"/>
      <c r="E3" s="1526"/>
      <c r="F3" s="1526"/>
      <c r="G3" s="1526"/>
      <c r="H3" s="1526"/>
      <c r="I3" s="1526"/>
      <c r="J3" s="1526"/>
      <c r="K3" s="1526"/>
      <c r="L3" s="1526"/>
    </row>
    <row r="4" spans="1:13">
      <c r="L4" s="385"/>
    </row>
    <row r="5" spans="1:13" s="380" customFormat="1" ht="45" customHeight="1">
      <c r="A5" s="1527" t="s">
        <v>307</v>
      </c>
      <c r="B5" s="1527" t="s">
        <v>6</v>
      </c>
      <c r="C5" s="1531" t="s">
        <v>671</v>
      </c>
      <c r="D5" s="1531"/>
      <c r="E5" s="1531"/>
      <c r="F5" s="1531"/>
      <c r="G5" s="1533" t="s">
        <v>673</v>
      </c>
      <c r="H5" s="1534"/>
      <c r="I5" s="1534"/>
      <c r="J5" s="1535"/>
      <c r="K5" s="1532" t="s">
        <v>676</v>
      </c>
      <c r="L5" s="391"/>
      <c r="M5" s="386"/>
    </row>
    <row r="6" spans="1:13" s="380" customFormat="1" ht="140.25" customHeight="1">
      <c r="A6" s="1527"/>
      <c r="B6" s="1527"/>
      <c r="C6" s="406" t="s">
        <v>670</v>
      </c>
      <c r="D6" s="406" t="s">
        <v>69</v>
      </c>
      <c r="E6" s="406" t="s">
        <v>672</v>
      </c>
      <c r="F6" s="407" t="s">
        <v>279</v>
      </c>
      <c r="G6" s="298" t="s">
        <v>280</v>
      </c>
      <c r="H6" s="299" t="s">
        <v>69</v>
      </c>
      <c r="I6" s="299" t="s">
        <v>672</v>
      </c>
      <c r="J6" s="302" t="s">
        <v>279</v>
      </c>
      <c r="K6" s="1532"/>
      <c r="L6" s="391" t="s">
        <v>16</v>
      </c>
      <c r="M6" s="386"/>
    </row>
    <row r="7" spans="1:13" s="386" customFormat="1" ht="28.5" customHeight="1">
      <c r="A7" s="387" t="s">
        <v>139</v>
      </c>
      <c r="B7" s="387" t="s">
        <v>140</v>
      </c>
      <c r="C7" s="408" t="s">
        <v>674</v>
      </c>
      <c r="D7" s="408" t="s">
        <v>142</v>
      </c>
      <c r="E7" s="408" t="s">
        <v>143</v>
      </c>
      <c r="F7" s="409" t="s">
        <v>193</v>
      </c>
      <c r="G7" s="418" t="s">
        <v>675</v>
      </c>
      <c r="H7" s="418" t="s">
        <v>194</v>
      </c>
      <c r="I7" s="418" t="s">
        <v>246</v>
      </c>
      <c r="J7" s="418" t="s">
        <v>145</v>
      </c>
      <c r="K7" s="427" t="s">
        <v>677</v>
      </c>
      <c r="L7" s="387" t="s">
        <v>147</v>
      </c>
    </row>
    <row r="8" spans="1:13" s="390" customFormat="1" ht="22.5" customHeight="1">
      <c r="A8" s="388"/>
      <c r="B8" s="388" t="s">
        <v>318</v>
      </c>
      <c r="C8" s="410"/>
      <c r="D8" s="410"/>
      <c r="E8" s="410"/>
      <c r="F8" s="411"/>
      <c r="G8" s="419"/>
      <c r="H8" s="419"/>
      <c r="I8" s="419"/>
      <c r="J8" s="425"/>
      <c r="K8" s="428"/>
      <c r="L8" s="388"/>
      <c r="M8" s="389"/>
    </row>
    <row r="9" spans="1:13" ht="21.75" customHeight="1">
      <c r="A9" s="391">
        <v>1</v>
      </c>
      <c r="B9" s="392" t="s">
        <v>585</v>
      </c>
      <c r="C9" s="412">
        <f>SUM(C10:C12)</f>
        <v>0</v>
      </c>
      <c r="D9" s="412"/>
      <c r="E9" s="412"/>
      <c r="F9" s="413"/>
      <c r="G9" s="420"/>
      <c r="H9" s="420"/>
      <c r="I9" s="420"/>
      <c r="J9" s="426"/>
      <c r="K9" s="429">
        <f>+G9+C9</f>
        <v>0</v>
      </c>
      <c r="L9" s="395"/>
    </row>
    <row r="10" spans="1:13" ht="21.75" customHeight="1">
      <c r="A10" s="393" t="s">
        <v>21</v>
      </c>
      <c r="B10" s="394" t="s">
        <v>599</v>
      </c>
      <c r="C10" s="414">
        <f>+E10*F10*D10</f>
        <v>0</v>
      </c>
      <c r="D10" s="414"/>
      <c r="E10" s="414">
        <v>6</v>
      </c>
      <c r="F10" s="415">
        <f>50*23000</f>
        <v>1150000</v>
      </c>
      <c r="G10" s="420"/>
      <c r="H10" s="420"/>
      <c r="I10" s="421">
        <v>4</v>
      </c>
      <c r="J10" s="421">
        <f>50*23000</f>
        <v>1150000</v>
      </c>
      <c r="K10" s="428"/>
      <c r="L10" s="405"/>
      <c r="M10" s="404" t="s">
        <v>598</v>
      </c>
    </row>
    <row r="11" spans="1:13" ht="21.75" customHeight="1">
      <c r="A11" s="393" t="s">
        <v>30</v>
      </c>
      <c r="B11" s="394" t="s">
        <v>589</v>
      </c>
      <c r="C11" s="414">
        <f t="shared" ref="C11:C20" si="0">+E11*F11*D11</f>
        <v>0</v>
      </c>
      <c r="D11" s="414"/>
      <c r="E11" s="414">
        <v>6</v>
      </c>
      <c r="F11" s="415">
        <f>80*23000</f>
        <v>1840000</v>
      </c>
      <c r="G11" s="420"/>
      <c r="H11" s="420"/>
      <c r="I11" s="421">
        <v>4</v>
      </c>
      <c r="J11" s="421">
        <f>80*23000</f>
        <v>1840000</v>
      </c>
      <c r="K11" s="428"/>
      <c r="L11" s="405"/>
      <c r="M11" s="404" t="s">
        <v>598</v>
      </c>
    </row>
    <row r="12" spans="1:13" ht="21.75" customHeight="1">
      <c r="A12" s="393" t="s">
        <v>32</v>
      </c>
      <c r="B12" s="394" t="s">
        <v>588</v>
      </c>
      <c r="C12" s="414">
        <f t="shared" si="0"/>
        <v>0</v>
      </c>
      <c r="D12" s="414"/>
      <c r="E12" s="414">
        <v>6</v>
      </c>
      <c r="F12" s="415">
        <f>100*23000</f>
        <v>2300000</v>
      </c>
      <c r="G12" s="420"/>
      <c r="H12" s="420"/>
      <c r="I12" s="421">
        <v>4</v>
      </c>
      <c r="J12" s="421">
        <f>100*23000</f>
        <v>2300000</v>
      </c>
      <c r="K12" s="428"/>
      <c r="L12" s="405"/>
      <c r="M12" s="404" t="s">
        <v>598</v>
      </c>
    </row>
    <row r="13" spans="1:13" s="390" customFormat="1">
      <c r="A13" s="391">
        <v>2</v>
      </c>
      <c r="B13" s="392" t="s">
        <v>591</v>
      </c>
      <c r="C13" s="412">
        <f>SUM(C14:C15)</f>
        <v>0</v>
      </c>
      <c r="D13" s="412"/>
      <c r="E13" s="412"/>
      <c r="F13" s="413"/>
      <c r="G13" s="419"/>
      <c r="H13" s="419"/>
      <c r="I13" s="422"/>
      <c r="J13" s="422"/>
      <c r="K13" s="430"/>
      <c r="L13" s="1507" t="s">
        <v>325</v>
      </c>
      <c r="M13" s="383" t="s">
        <v>593</v>
      </c>
    </row>
    <row r="14" spans="1:13" s="390" customFormat="1">
      <c r="A14" s="393" t="s">
        <v>427</v>
      </c>
      <c r="B14" s="394" t="s">
        <v>590</v>
      </c>
      <c r="C14" s="414">
        <f t="shared" si="0"/>
        <v>0</v>
      </c>
      <c r="D14" s="414"/>
      <c r="E14" s="414">
        <v>5</v>
      </c>
      <c r="F14" s="415">
        <v>400000</v>
      </c>
      <c r="G14" s="419"/>
      <c r="H14" s="419"/>
      <c r="I14" s="421">
        <v>4</v>
      </c>
      <c r="J14" s="421">
        <v>400000</v>
      </c>
      <c r="K14" s="428"/>
      <c r="L14" s="1507"/>
      <c r="M14" s="383" t="s">
        <v>593</v>
      </c>
    </row>
    <row r="15" spans="1:13" s="390" customFormat="1">
      <c r="A15" s="393" t="s">
        <v>430</v>
      </c>
      <c r="B15" s="394" t="s">
        <v>592</v>
      </c>
      <c r="C15" s="414">
        <f t="shared" si="0"/>
        <v>0</v>
      </c>
      <c r="D15" s="414"/>
      <c r="E15" s="414">
        <v>5</v>
      </c>
      <c r="F15" s="415">
        <v>3000000</v>
      </c>
      <c r="G15" s="419"/>
      <c r="H15" s="419"/>
      <c r="I15" s="421">
        <v>4</v>
      </c>
      <c r="J15" s="421">
        <v>3000000</v>
      </c>
      <c r="K15" s="431"/>
      <c r="L15" s="1507"/>
      <c r="M15" s="383" t="s">
        <v>593</v>
      </c>
    </row>
    <row r="16" spans="1:13" s="390" customFormat="1">
      <c r="A16" s="391">
        <v>3</v>
      </c>
      <c r="B16" s="388" t="s">
        <v>326</v>
      </c>
      <c r="C16" s="410">
        <f>SUM(C17:C20)</f>
        <v>0</v>
      </c>
      <c r="D16" s="410"/>
      <c r="E16" s="410"/>
      <c r="F16" s="411"/>
      <c r="G16" s="419"/>
      <c r="H16" s="419"/>
      <c r="I16" s="423"/>
      <c r="J16" s="423"/>
      <c r="K16" s="432"/>
      <c r="L16" s="1507"/>
      <c r="M16" s="383" t="s">
        <v>593</v>
      </c>
    </row>
    <row r="17" spans="1:13">
      <c r="A17" s="393" t="s">
        <v>698</v>
      </c>
      <c r="B17" s="395" t="s">
        <v>327</v>
      </c>
      <c r="C17" s="414">
        <f t="shared" si="0"/>
        <v>0</v>
      </c>
      <c r="D17" s="416"/>
      <c r="E17" s="416">
        <v>5</v>
      </c>
      <c r="F17" s="417">
        <v>1300000</v>
      </c>
      <c r="G17" s="420"/>
      <c r="H17" s="420"/>
      <c r="I17" s="424">
        <v>4</v>
      </c>
      <c r="J17" s="424">
        <v>1300000</v>
      </c>
      <c r="K17" s="431"/>
      <c r="L17" s="1507"/>
      <c r="M17" s="383" t="s">
        <v>593</v>
      </c>
    </row>
    <row r="18" spans="1:13">
      <c r="A18" s="393" t="s">
        <v>699</v>
      </c>
      <c r="B18" s="395" t="s">
        <v>328</v>
      </c>
      <c r="C18" s="414">
        <f t="shared" si="0"/>
        <v>0</v>
      </c>
      <c r="D18" s="416"/>
      <c r="E18" s="416">
        <v>5</v>
      </c>
      <c r="F18" s="417">
        <v>1200000</v>
      </c>
      <c r="G18" s="420"/>
      <c r="H18" s="420"/>
      <c r="I18" s="424">
        <v>4</v>
      </c>
      <c r="J18" s="424">
        <v>1200000</v>
      </c>
      <c r="K18" s="431"/>
      <c r="L18" s="1507"/>
      <c r="M18" s="383" t="s">
        <v>593</v>
      </c>
    </row>
    <row r="19" spans="1:13">
      <c r="A19" s="393" t="s">
        <v>700</v>
      </c>
      <c r="B19" s="395" t="s">
        <v>329</v>
      </c>
      <c r="C19" s="414">
        <f t="shared" si="0"/>
        <v>0</v>
      </c>
      <c r="D19" s="416"/>
      <c r="E19" s="416">
        <v>5</v>
      </c>
      <c r="F19" s="417">
        <v>1300000</v>
      </c>
      <c r="G19" s="420"/>
      <c r="H19" s="420"/>
      <c r="I19" s="424">
        <v>4</v>
      </c>
      <c r="J19" s="424">
        <v>1300000</v>
      </c>
      <c r="K19" s="431"/>
      <c r="L19" s="1507"/>
      <c r="M19" s="383" t="s">
        <v>593</v>
      </c>
    </row>
    <row r="20" spans="1:13">
      <c r="A20" s="393" t="s">
        <v>701</v>
      </c>
      <c r="B20" s="395" t="s">
        <v>330</v>
      </c>
      <c r="C20" s="414">
        <f t="shared" si="0"/>
        <v>0</v>
      </c>
      <c r="D20" s="416"/>
      <c r="E20" s="416">
        <v>5</v>
      </c>
      <c r="F20" s="417">
        <v>1100000</v>
      </c>
      <c r="G20" s="420"/>
      <c r="H20" s="420"/>
      <c r="I20" s="424">
        <v>4</v>
      </c>
      <c r="J20" s="424">
        <v>1100000</v>
      </c>
      <c r="K20" s="431"/>
      <c r="L20" s="1507"/>
      <c r="M20" s="383" t="s">
        <v>593</v>
      </c>
    </row>
    <row r="21" spans="1:13">
      <c r="A21" s="391">
        <v>5</v>
      </c>
      <c r="B21" s="388" t="s">
        <v>312</v>
      </c>
      <c r="C21" s="410"/>
      <c r="D21" s="410"/>
      <c r="E21" s="410"/>
      <c r="F21" s="411"/>
      <c r="G21" s="419"/>
      <c r="H21" s="419"/>
      <c r="I21" s="419"/>
      <c r="J21" s="297"/>
      <c r="K21" s="430"/>
      <c r="L21" s="1507"/>
    </row>
    <row r="22" spans="1:13">
      <c r="A22" s="391"/>
      <c r="B22" s="395" t="s">
        <v>600</v>
      </c>
      <c r="C22" s="416"/>
      <c r="D22" s="416"/>
      <c r="E22" s="416"/>
      <c r="F22" s="417"/>
      <c r="G22" s="419"/>
      <c r="H22" s="419"/>
      <c r="I22" s="419"/>
      <c r="J22" s="297"/>
      <c r="K22" s="430"/>
      <c r="L22" s="405"/>
    </row>
    <row r="23" spans="1:13">
      <c r="A23" s="391"/>
      <c r="B23" s="395" t="s">
        <v>600</v>
      </c>
      <c r="C23" s="416"/>
      <c r="D23" s="416"/>
      <c r="E23" s="416"/>
      <c r="F23" s="417"/>
      <c r="G23" s="419"/>
      <c r="H23" s="419"/>
      <c r="I23" s="419"/>
      <c r="J23" s="297"/>
      <c r="K23" s="430"/>
      <c r="L23" s="405"/>
    </row>
    <row r="24" spans="1:13">
      <c r="A24" s="391"/>
      <c r="B24" s="395" t="s">
        <v>600</v>
      </c>
      <c r="C24" s="416"/>
      <c r="D24" s="416"/>
      <c r="E24" s="416"/>
      <c r="F24" s="417"/>
      <c r="G24" s="419"/>
      <c r="H24" s="419"/>
      <c r="I24" s="419"/>
      <c r="J24" s="297"/>
      <c r="K24" s="430"/>
      <c r="L24" s="405"/>
    </row>
    <row r="25" spans="1:13" s="390" customFormat="1" ht="21.75" customHeight="1">
      <c r="A25" s="391">
        <v>6</v>
      </c>
      <c r="B25" s="388" t="s">
        <v>331</v>
      </c>
      <c r="C25" s="410"/>
      <c r="D25" s="410"/>
      <c r="E25" s="410"/>
      <c r="F25" s="411"/>
      <c r="G25" s="419"/>
      <c r="H25" s="419"/>
      <c r="I25" s="419"/>
      <c r="J25" s="297"/>
      <c r="K25" s="430"/>
      <c r="L25" s="388"/>
      <c r="M25" s="389"/>
    </row>
    <row r="26" spans="1:13" s="390" customFormat="1" ht="30" customHeight="1">
      <c r="A26" s="393" t="s">
        <v>586</v>
      </c>
      <c r="B26" s="395" t="s">
        <v>332</v>
      </c>
      <c r="C26" s="416"/>
      <c r="D26" s="416"/>
      <c r="E26" s="416"/>
      <c r="F26" s="417"/>
      <c r="G26" s="420"/>
      <c r="H26" s="420"/>
      <c r="I26" s="420"/>
      <c r="J26" s="425"/>
      <c r="K26" s="428"/>
      <c r="L26" s="388"/>
      <c r="M26" s="389"/>
    </row>
    <row r="27" spans="1:13" s="390" customFormat="1" ht="30" customHeight="1">
      <c r="A27" s="393" t="s">
        <v>587</v>
      </c>
      <c r="B27" s="395" t="s">
        <v>610</v>
      </c>
      <c r="C27" s="416"/>
      <c r="D27" s="416"/>
      <c r="E27" s="416"/>
      <c r="F27" s="417"/>
      <c r="G27" s="420"/>
      <c r="H27" s="420"/>
      <c r="I27" s="420"/>
      <c r="J27" s="425"/>
      <c r="K27" s="428"/>
      <c r="L27" s="388"/>
      <c r="M27" s="389"/>
    </row>
    <row r="28" spans="1:13" s="390" customFormat="1" ht="30" customHeight="1">
      <c r="A28" s="393" t="s">
        <v>619</v>
      </c>
      <c r="B28" s="394" t="s">
        <v>706</v>
      </c>
      <c r="C28" s="414"/>
      <c r="D28" s="414"/>
      <c r="E28" s="414"/>
      <c r="F28" s="415"/>
      <c r="G28" s="420"/>
      <c r="H28" s="420"/>
      <c r="I28" s="420"/>
      <c r="J28" s="425"/>
      <c r="K28" s="428"/>
      <c r="L28" s="388"/>
      <c r="M28" s="389"/>
    </row>
    <row r="29" spans="1:13" s="390" customFormat="1" ht="30" customHeight="1">
      <c r="A29" s="393" t="s">
        <v>702</v>
      </c>
      <c r="B29" s="395" t="s">
        <v>703</v>
      </c>
      <c r="C29" s="416"/>
      <c r="D29" s="416"/>
      <c r="E29" s="416"/>
      <c r="F29" s="417"/>
      <c r="G29" s="420"/>
      <c r="H29" s="420"/>
      <c r="I29" s="420"/>
      <c r="J29" s="425"/>
      <c r="K29" s="428"/>
      <c r="L29" s="388"/>
      <c r="M29" s="389"/>
    </row>
    <row r="30" spans="1:13" ht="21.75" customHeight="1">
      <c r="A30" s="396" t="s">
        <v>704</v>
      </c>
      <c r="B30" s="395" t="s">
        <v>705</v>
      </c>
      <c r="C30" s="416"/>
      <c r="D30" s="416"/>
      <c r="E30" s="416"/>
      <c r="F30" s="417"/>
      <c r="G30" s="419"/>
      <c r="H30" s="419"/>
      <c r="I30" s="419"/>
      <c r="J30" s="425"/>
      <c r="K30" s="428"/>
      <c r="L30" s="395"/>
    </row>
    <row r="31" spans="1:13" s="397" customFormat="1">
      <c r="F31" s="402"/>
      <c r="J31" s="1528" t="s">
        <v>314</v>
      </c>
      <c r="K31" s="1528"/>
      <c r="L31" s="1528"/>
      <c r="M31" s="398"/>
    </row>
    <row r="32" spans="1:13">
      <c r="B32" s="1529"/>
      <c r="C32" s="1529"/>
      <c r="D32" s="1529"/>
      <c r="E32" s="1529"/>
      <c r="F32" s="1529"/>
      <c r="G32" s="1529"/>
      <c r="H32" s="1529"/>
      <c r="I32" s="1529"/>
      <c r="J32" s="1529"/>
      <c r="K32" s="403"/>
      <c r="L32" s="386"/>
    </row>
    <row r="33" spans="1:11" ht="77.25" customHeight="1">
      <c r="A33" s="1530" t="s">
        <v>335</v>
      </c>
      <c r="B33" s="1529"/>
      <c r="C33" s="1529"/>
      <c r="D33" s="1529"/>
      <c r="E33" s="1529"/>
      <c r="F33" s="1529"/>
      <c r="G33" s="1529"/>
      <c r="H33" s="1529"/>
      <c r="I33" s="1529"/>
      <c r="J33" s="1529"/>
      <c r="K33" s="403"/>
    </row>
    <row r="34" spans="1:11">
      <c r="A34" s="390" t="s">
        <v>221</v>
      </c>
    </row>
    <row r="35" spans="1:11" ht="79.5" customHeight="1">
      <c r="A35" s="381" t="s">
        <v>336</v>
      </c>
    </row>
    <row r="36" spans="1:11" ht="39.75" customHeight="1">
      <c r="A36" s="381" t="s">
        <v>337</v>
      </c>
    </row>
    <row r="37" spans="1:11" ht="39.75" customHeight="1">
      <c r="A37" s="381" t="s">
        <v>338</v>
      </c>
    </row>
  </sheetData>
  <mergeCells count="12">
    <mergeCell ref="L13:L21"/>
    <mergeCell ref="J31:L31"/>
    <mergeCell ref="B32:J32"/>
    <mergeCell ref="A33:J33"/>
    <mergeCell ref="C5:F5"/>
    <mergeCell ref="K5:K6"/>
    <mergeCell ref="G5:J5"/>
    <mergeCell ref="A1:B1"/>
    <mergeCell ref="A2:B2"/>
    <mergeCell ref="A3:L3"/>
    <mergeCell ref="A5:A6"/>
    <mergeCell ref="B5:B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27"/>
  <sheetViews>
    <sheetView zoomScale="89" zoomScaleNormal="89" workbookViewId="0">
      <selection activeCell="D15" sqref="D15"/>
    </sheetView>
  </sheetViews>
  <sheetFormatPr defaultColWidth="9" defaultRowHeight="15.5"/>
  <cols>
    <col min="1" max="1" width="5.08203125" style="109" customWidth="1"/>
    <col min="2" max="2" width="52.4140625" style="109" customWidth="1"/>
    <col min="3" max="3" width="11.08203125" style="109" customWidth="1"/>
    <col min="4" max="5" width="11" style="109" customWidth="1"/>
    <col min="6" max="6" width="12.4140625" style="109" customWidth="1"/>
    <col min="7" max="7" width="48" style="209" customWidth="1"/>
    <col min="8" max="16384" width="9" style="109"/>
  </cols>
  <sheetData>
    <row r="1" spans="1:7">
      <c r="A1" s="1499" t="s">
        <v>0</v>
      </c>
      <c r="B1" s="1499"/>
      <c r="C1" s="245"/>
      <c r="F1" s="247" t="s">
        <v>609</v>
      </c>
    </row>
    <row r="2" spans="1:7">
      <c r="A2" s="1303" t="s">
        <v>304</v>
      </c>
      <c r="B2" s="1303"/>
      <c r="C2" s="245"/>
      <c r="D2" s="134"/>
    </row>
    <row r="3" spans="1:7" ht="35.25" customHeight="1">
      <c r="A3" s="1537" t="s">
        <v>606</v>
      </c>
      <c r="B3" s="1537"/>
      <c r="C3" s="1537"/>
      <c r="D3" s="1537"/>
      <c r="E3" s="1537"/>
      <c r="F3" s="1537"/>
    </row>
    <row r="4" spans="1:7" ht="27.75" customHeight="1" thickBot="1">
      <c r="E4" s="1367" t="s">
        <v>306</v>
      </c>
      <c r="F4" s="1367"/>
    </row>
    <row r="5" spans="1:7" s="245" customFormat="1" ht="138" customHeight="1" thickTop="1">
      <c r="A5" s="110" t="s">
        <v>307</v>
      </c>
      <c r="B5" s="111" t="s">
        <v>6</v>
      </c>
      <c r="C5" s="112" t="s">
        <v>514</v>
      </c>
      <c r="D5" s="112" t="s">
        <v>279</v>
      </c>
      <c r="E5" s="112" t="s">
        <v>280</v>
      </c>
      <c r="F5" s="113" t="s">
        <v>16</v>
      </c>
      <c r="G5" s="246"/>
    </row>
    <row r="6" spans="1:7" s="245" customFormat="1" ht="15">
      <c r="A6" s="135" t="s">
        <v>139</v>
      </c>
      <c r="B6" s="136" t="s">
        <v>140</v>
      </c>
      <c r="C6" s="137" t="s">
        <v>141</v>
      </c>
      <c r="D6" s="137" t="s">
        <v>142</v>
      </c>
      <c r="E6" s="137" t="s">
        <v>143</v>
      </c>
      <c r="F6" s="138" t="s">
        <v>193</v>
      </c>
      <c r="G6" s="246"/>
    </row>
    <row r="7" spans="1:7" s="118" customFormat="1" ht="33.75" customHeight="1">
      <c r="A7" s="139"/>
      <c r="B7" s="140" t="s">
        <v>318</v>
      </c>
      <c r="C7" s="140"/>
      <c r="D7" s="141"/>
      <c r="E7" s="140"/>
      <c r="F7" s="142"/>
      <c r="G7" s="100"/>
    </row>
    <row r="8" spans="1:7" ht="22.5" customHeight="1">
      <c r="A8" s="274">
        <v>1</v>
      </c>
      <c r="B8" s="115" t="s">
        <v>596</v>
      </c>
      <c r="C8" s="143"/>
      <c r="D8" s="144"/>
      <c r="E8" s="145"/>
      <c r="F8" s="146"/>
    </row>
    <row r="9" spans="1:7" ht="22.5" customHeight="1">
      <c r="A9" s="127" t="s">
        <v>21</v>
      </c>
      <c r="B9" s="124" t="s">
        <v>597</v>
      </c>
      <c r="C9" s="143"/>
      <c r="D9" s="144">
        <f>5*10*23</f>
        <v>1150</v>
      </c>
      <c r="E9" s="145">
        <f>'[1]Bieu 7 NCKH'!D27</f>
        <v>0</v>
      </c>
      <c r="F9" s="146"/>
    </row>
    <row r="10" spans="1:7" ht="22.5" customHeight="1">
      <c r="A10" s="187" t="s">
        <v>30</v>
      </c>
      <c r="B10" s="124" t="s">
        <v>601</v>
      </c>
      <c r="C10" s="143"/>
      <c r="D10" s="144">
        <f>5*10*23</f>
        <v>1150</v>
      </c>
      <c r="E10" s="145">
        <f>'[1]Bieu 7 NCKH'!D28</f>
        <v>0</v>
      </c>
      <c r="F10" s="146"/>
    </row>
    <row r="11" spans="1:7" s="118" customFormat="1" ht="22.5" customHeight="1">
      <c r="A11" s="188">
        <v>2</v>
      </c>
      <c r="B11" s="276" t="s">
        <v>602</v>
      </c>
      <c r="C11" s="143"/>
      <c r="D11" s="277"/>
      <c r="E11" s="143"/>
      <c r="F11" s="278"/>
      <c r="G11" s="100"/>
    </row>
    <row r="12" spans="1:7" ht="22.5" customHeight="1">
      <c r="A12" s="188">
        <v>3</v>
      </c>
      <c r="B12" s="276" t="s">
        <v>603</v>
      </c>
      <c r="C12" s="145"/>
      <c r="D12" s="144"/>
      <c r="E12" s="145"/>
      <c r="F12" s="146"/>
    </row>
    <row r="13" spans="1:7" ht="22.5" customHeight="1">
      <c r="A13" s="188">
        <v>4</v>
      </c>
      <c r="B13" s="276" t="s">
        <v>604</v>
      </c>
      <c r="C13" s="145"/>
      <c r="D13" s="144"/>
      <c r="E13" s="145"/>
      <c r="F13" s="146"/>
    </row>
    <row r="14" spans="1:7" ht="22.5" customHeight="1">
      <c r="A14" s="188">
        <v>5</v>
      </c>
      <c r="B14" s="276" t="s">
        <v>613</v>
      </c>
      <c r="C14" s="145"/>
      <c r="D14" s="144"/>
      <c r="E14" s="145"/>
      <c r="F14" s="146"/>
    </row>
    <row r="15" spans="1:7" ht="22.5" customHeight="1">
      <c r="A15" s="188">
        <v>6</v>
      </c>
      <c r="B15" s="276" t="s">
        <v>614</v>
      </c>
      <c r="C15" s="145"/>
      <c r="D15" s="144"/>
      <c r="E15" s="145"/>
      <c r="F15" s="146"/>
    </row>
    <row r="16" spans="1:7" ht="22.5" customHeight="1">
      <c r="A16" s="187">
        <v>7</v>
      </c>
      <c r="B16" s="275" t="s">
        <v>605</v>
      </c>
      <c r="C16" s="145"/>
      <c r="D16" s="144"/>
      <c r="E16" s="145"/>
      <c r="F16" s="146"/>
    </row>
    <row r="17" spans="1:7" ht="22.5" customHeight="1">
      <c r="A17" s="187">
        <v>8</v>
      </c>
      <c r="B17" s="275" t="s">
        <v>605</v>
      </c>
      <c r="C17" s="145"/>
      <c r="D17" s="144"/>
      <c r="E17" s="145"/>
      <c r="F17" s="146"/>
    </row>
    <row r="18" spans="1:7" ht="77.25" customHeight="1">
      <c r="A18" s="274">
        <v>9</v>
      </c>
      <c r="B18" s="125" t="s">
        <v>608</v>
      </c>
      <c r="C18" s="115"/>
      <c r="D18" s="116"/>
      <c r="E18" s="122"/>
      <c r="F18" s="123"/>
    </row>
    <row r="19" spans="1:7" ht="22.5" customHeight="1">
      <c r="A19" s="187"/>
      <c r="B19" s="275"/>
      <c r="C19" s="145"/>
      <c r="D19" s="144"/>
      <c r="E19" s="145"/>
      <c r="F19" s="146"/>
    </row>
    <row r="20" spans="1:7" ht="21.75" customHeight="1" thickBot="1">
      <c r="A20" s="128"/>
      <c r="B20" s="130"/>
      <c r="C20" s="129"/>
      <c r="D20" s="131"/>
      <c r="E20" s="130"/>
      <c r="F20" s="132"/>
    </row>
    <row r="21" spans="1:7" s="133" customFormat="1" ht="16" thickTop="1">
      <c r="D21" s="1501" t="s">
        <v>314</v>
      </c>
      <c r="E21" s="1501"/>
      <c r="F21" s="1501"/>
      <c r="G21" s="248"/>
    </row>
    <row r="22" spans="1:7">
      <c r="B22" s="1498"/>
      <c r="C22" s="1498"/>
      <c r="D22" s="1498"/>
      <c r="E22" s="1500"/>
      <c r="F22" s="1500"/>
    </row>
    <row r="23" spans="1:7" ht="77.25" customHeight="1">
      <c r="A23" s="1536"/>
      <c r="B23" s="1498"/>
      <c r="C23" s="1498"/>
      <c r="D23" s="1498"/>
    </row>
    <row r="24" spans="1:7">
      <c r="A24" s="118"/>
    </row>
    <row r="25" spans="1:7" ht="79.5" customHeight="1"/>
    <row r="26" spans="1:7" ht="39.75" customHeight="1"/>
    <row r="27" spans="1:7" ht="39.75" customHeight="1"/>
  </sheetData>
  <mergeCells count="8">
    <mergeCell ref="D21:F21"/>
    <mergeCell ref="B22:D22"/>
    <mergeCell ref="E22:F22"/>
    <mergeCell ref="A23:D23"/>
    <mergeCell ref="A1:B1"/>
    <mergeCell ref="A2:B2"/>
    <mergeCell ref="A3:F3"/>
    <mergeCell ref="E4:F4"/>
  </mergeCells>
  <pageMargins left="0.7" right="0.17" top="0.33" bottom="0.18" header="0.3" footer="0.3"/>
  <pageSetup paperSize="9" scale="84" fitToHeight="0"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G55"/>
  <sheetViews>
    <sheetView topLeftCell="B33" zoomScale="125" workbookViewId="0">
      <selection activeCell="B39" sqref="B39"/>
    </sheetView>
  </sheetViews>
  <sheetFormatPr defaultColWidth="9" defaultRowHeight="18"/>
  <cols>
    <col min="1" max="1" width="5.08203125" style="167" customWidth="1"/>
    <col min="2" max="2" width="58.4140625" style="165" customWidth="1"/>
    <col min="3" max="3" width="19.75" style="643" customWidth="1"/>
    <col min="4" max="4" width="14.4140625" style="165" customWidth="1"/>
    <col min="5" max="5" width="9" style="167"/>
    <col min="6" max="6" width="73.9140625" style="191" customWidth="1"/>
    <col min="7" max="16384" width="9" style="167"/>
  </cols>
  <sheetData>
    <row r="1" spans="1:7">
      <c r="A1" s="1490" t="s">
        <v>397</v>
      </c>
      <c r="B1" s="1490"/>
      <c r="C1" s="1539" t="s">
        <v>398</v>
      </c>
      <c r="D1" s="1539"/>
      <c r="E1" s="165"/>
      <c r="F1" s="166"/>
      <c r="G1" s="165"/>
    </row>
    <row r="2" spans="1:7">
      <c r="A2" s="1503" t="s">
        <v>1363</v>
      </c>
      <c r="B2" s="1503"/>
      <c r="C2" s="639"/>
      <c r="E2" s="165"/>
      <c r="F2" s="166"/>
      <c r="G2" s="165"/>
    </row>
    <row r="3" spans="1:7" ht="8.25" customHeight="1">
      <c r="A3" s="165"/>
      <c r="C3" s="639"/>
      <c r="E3" s="165"/>
      <c r="F3" s="166"/>
      <c r="G3" s="165"/>
    </row>
    <row r="4" spans="1:7" ht="30" customHeight="1">
      <c r="A4" s="1503" t="s">
        <v>395</v>
      </c>
      <c r="B4" s="1503"/>
      <c r="C4" s="1503"/>
      <c r="D4" s="1503"/>
      <c r="E4" s="165"/>
      <c r="F4" s="166"/>
      <c r="G4" s="165"/>
    </row>
    <row r="5" spans="1:7" ht="18.5" thickBot="1">
      <c r="A5" s="165"/>
      <c r="C5" s="1540" t="s">
        <v>399</v>
      </c>
      <c r="D5" s="1540"/>
      <c r="E5" s="165"/>
      <c r="F5" s="168" t="s">
        <v>400</v>
      </c>
      <c r="G5" s="165"/>
    </row>
    <row r="6" spans="1:7" s="52" customFormat="1" ht="15.5" thickTop="1">
      <c r="A6" s="753" t="s">
        <v>307</v>
      </c>
      <c r="B6" s="754" t="s">
        <v>6</v>
      </c>
      <c r="C6" s="755" t="s">
        <v>280</v>
      </c>
      <c r="D6" s="756" t="s">
        <v>16</v>
      </c>
      <c r="E6" s="173"/>
      <c r="F6" s="168"/>
      <c r="G6" s="173"/>
    </row>
    <row r="7" spans="1:7" s="118" customFormat="1" ht="24" customHeight="1">
      <c r="A7" s="757"/>
      <c r="B7" s="757" t="s">
        <v>401</v>
      </c>
      <c r="C7" s="758">
        <f>C9+C24+C38+C42</f>
        <v>31974596.780416243</v>
      </c>
      <c r="D7" s="757"/>
      <c r="E7" s="177"/>
      <c r="F7" s="178"/>
      <c r="G7" s="177"/>
    </row>
    <row r="8" spans="1:7" s="118" customFormat="1" ht="24" customHeight="1">
      <c r="A8" s="759">
        <v>1</v>
      </c>
      <c r="B8" s="757" t="s">
        <v>402</v>
      </c>
      <c r="C8" s="760">
        <f>C9+C15+C16+C20+C21+C22+C23</f>
        <v>26564395.180416241</v>
      </c>
      <c r="D8" s="757"/>
      <c r="E8" s="177"/>
      <c r="F8" s="178"/>
      <c r="G8" s="177"/>
    </row>
    <row r="9" spans="1:7" s="109" customFormat="1" ht="39.9" customHeight="1">
      <c r="A9" s="761">
        <v>1.1000000000000001</v>
      </c>
      <c r="B9" s="762" t="s">
        <v>403</v>
      </c>
      <c r="C9" s="758">
        <f>SUM(C10:C14)</f>
        <v>26469395.180416241</v>
      </c>
      <c r="D9" s="763" t="s">
        <v>345</v>
      </c>
      <c r="F9" s="180" t="s">
        <v>404</v>
      </c>
    </row>
    <row r="10" spans="1:7" s="109" customFormat="1" ht="24" customHeight="1">
      <c r="A10" s="761"/>
      <c r="B10" s="764" t="s">
        <v>728</v>
      </c>
      <c r="C10" s="765">
        <f>'Bieu so 12 Chi phi con nguoi'!K22+'Bieu so 12 Chi phi con nguoi'!L22+'Bieu so 12 Chi phi con nguoi'!M22+'Bieu so 12 Chi phi con nguoi'!N22</f>
        <v>5723830.749413765</v>
      </c>
      <c r="D10" s="763"/>
      <c r="F10" s="180"/>
    </row>
    <row r="11" spans="1:7" s="109" customFormat="1" ht="24" customHeight="1">
      <c r="A11" s="761"/>
      <c r="B11" s="764" t="s">
        <v>729</v>
      </c>
      <c r="C11" s="765">
        <f>'Bieu so 12 Chi phi con nguoi'!K23+'Bieu so 12 Chi phi con nguoi'!L23+'Bieu so 12 Chi phi con nguoi'!M23+'Bieu so 12 Chi phi con nguoi'!N23</f>
        <v>5901832.6077102385</v>
      </c>
      <c r="D11" s="763"/>
      <c r="F11" s="180"/>
    </row>
    <row r="12" spans="1:7" s="109" customFormat="1" ht="24" customHeight="1">
      <c r="A12" s="761"/>
      <c r="B12" s="764" t="s">
        <v>730</v>
      </c>
      <c r="C12" s="765">
        <f>'Bieu so 12 Chi phi con nguoi'!K24+'Bieu so 12 Chi phi con nguoi'!L24+'Bieu so 12 Chi phi con nguoi'!M24+'Bieu so 12 Chi phi con nguoi'!N24</f>
        <v>6975897.5779374391</v>
      </c>
      <c r="D12" s="763"/>
      <c r="F12" s="180"/>
    </row>
    <row r="13" spans="1:7" s="109" customFormat="1" ht="24" customHeight="1">
      <c r="A13" s="761"/>
      <c r="B13" s="764" t="s">
        <v>731</v>
      </c>
      <c r="C13" s="765">
        <f>'Bieu so 12 Chi phi con nguoi'!K25+'Bieu so 12 Chi phi con nguoi'!L25+'Bieu so 12 Chi phi con nguoi'!M25+'Bieu so 12 Chi phi con nguoi'!N25</f>
        <v>6333019.9873314593</v>
      </c>
      <c r="D13" s="763"/>
      <c r="F13" s="180"/>
    </row>
    <row r="14" spans="1:7" s="109" customFormat="1" ht="24" customHeight="1">
      <c r="A14" s="761"/>
      <c r="B14" s="764" t="s">
        <v>732</v>
      </c>
      <c r="C14" s="765">
        <f>'Bieu so 12 Chi phi con nguoi'!K26+'Bieu so 12 Chi phi con nguoi'!L26+'Bieu so 12 Chi phi con nguoi'!M26+'Bieu so 12 Chi phi con nguoi'!N26</f>
        <v>1534814.258023337</v>
      </c>
      <c r="D14" s="763"/>
      <c r="F14" s="180"/>
    </row>
    <row r="15" spans="1:7" s="109" customFormat="1" ht="24" customHeight="1">
      <c r="A15" s="761">
        <v>1.2</v>
      </c>
      <c r="B15" s="763" t="s">
        <v>405</v>
      </c>
      <c r="C15" s="766">
        <f>'[1]Bieu 2B -Gio day ĐH va tren DH'!N76*75</f>
        <v>0</v>
      </c>
      <c r="D15" s="763" t="s">
        <v>234</v>
      </c>
      <c r="F15" s="180" t="s">
        <v>406</v>
      </c>
    </row>
    <row r="16" spans="1:7" s="109" customFormat="1" ht="24" customHeight="1">
      <c r="A16" s="761">
        <v>1.3</v>
      </c>
      <c r="B16" s="763" t="s">
        <v>407</v>
      </c>
      <c r="C16" s="766"/>
      <c r="D16" s="763"/>
      <c r="F16" s="183"/>
    </row>
    <row r="17" spans="1:6" s="109" customFormat="1" ht="44.4" customHeight="1">
      <c r="A17" s="761" t="s">
        <v>408</v>
      </c>
      <c r="B17" s="763" t="s">
        <v>409</v>
      </c>
      <c r="C17" s="766">
        <f>8%*'9a Tong thu DH va SDH'!C12</f>
        <v>359079.2</v>
      </c>
      <c r="D17" s="763"/>
      <c r="F17" s="183" t="s">
        <v>410</v>
      </c>
    </row>
    <row r="18" spans="1:6" s="109" customFormat="1" ht="45.65" customHeight="1">
      <c r="A18" s="761" t="s">
        <v>411</v>
      </c>
      <c r="B18" s="763" t="s">
        <v>412</v>
      </c>
      <c r="C18" s="766">
        <f>7*140</f>
        <v>980</v>
      </c>
      <c r="D18" s="763"/>
      <c r="F18" s="183" t="s">
        <v>470</v>
      </c>
    </row>
    <row r="19" spans="1:6" s="109" customFormat="1" ht="36.9" customHeight="1">
      <c r="A19" s="761" t="s">
        <v>413</v>
      </c>
      <c r="B19" s="1248" t="s">
        <v>414</v>
      </c>
      <c r="C19" s="766"/>
      <c r="D19" s="763"/>
      <c r="F19" s="183" t="s">
        <v>415</v>
      </c>
    </row>
    <row r="20" spans="1:6" s="109" customFormat="1" ht="28.5" customHeight="1">
      <c r="A20" s="761">
        <v>1.4</v>
      </c>
      <c r="B20" s="763" t="s">
        <v>416</v>
      </c>
      <c r="C20" s="766"/>
      <c r="D20" s="767" t="s">
        <v>417</v>
      </c>
      <c r="F20" s="180" t="s">
        <v>418</v>
      </c>
    </row>
    <row r="21" spans="1:6" s="109" customFormat="1" ht="24" customHeight="1">
      <c r="A21" s="761">
        <v>1.5</v>
      </c>
      <c r="B21" s="763" t="s">
        <v>419</v>
      </c>
      <c r="C21" s="766">
        <v>20000</v>
      </c>
      <c r="D21" s="763" t="s">
        <v>420</v>
      </c>
      <c r="F21" s="180" t="s">
        <v>421</v>
      </c>
    </row>
    <row r="22" spans="1:6" s="109" customFormat="1" ht="29.25" customHeight="1">
      <c r="A22" s="761">
        <v>1.6</v>
      </c>
      <c r="B22" s="763" t="s">
        <v>422</v>
      </c>
      <c r="C22" s="766">
        <v>45000</v>
      </c>
      <c r="D22" s="767" t="s">
        <v>423</v>
      </c>
      <c r="F22" s="180" t="s">
        <v>424</v>
      </c>
    </row>
    <row r="23" spans="1:6" s="109" customFormat="1" ht="24" customHeight="1">
      <c r="A23" s="761">
        <v>1.7</v>
      </c>
      <c r="B23" s="763" t="s">
        <v>285</v>
      </c>
      <c r="C23" s="766">
        <v>30000</v>
      </c>
      <c r="D23" s="763"/>
      <c r="F23" s="180" t="s">
        <v>425</v>
      </c>
    </row>
    <row r="24" spans="1:6" s="109" customFormat="1" ht="24" customHeight="1">
      <c r="A24" s="768">
        <v>2</v>
      </c>
      <c r="B24" s="757" t="s">
        <v>426</v>
      </c>
      <c r="C24" s="760">
        <f>SUM(C25:C37)</f>
        <v>4319370.5</v>
      </c>
      <c r="D24" s="763"/>
      <c r="F24" s="180"/>
    </row>
    <row r="25" spans="1:6" s="109" customFormat="1" ht="24" customHeight="1">
      <c r="A25" s="761">
        <v>2.1</v>
      </c>
      <c r="B25" s="767" t="s">
        <v>428</v>
      </c>
      <c r="C25" s="538">
        <f>'Bieu5-Nhu cau mua sam sua chua'!H73</f>
        <v>124574</v>
      </c>
      <c r="D25" s="763" t="s">
        <v>341</v>
      </c>
      <c r="F25" s="180" t="s">
        <v>429</v>
      </c>
    </row>
    <row r="26" spans="1:6" s="109" customFormat="1" ht="24" customHeight="1">
      <c r="A26" s="769" t="s">
        <v>430</v>
      </c>
      <c r="B26" s="767" t="s">
        <v>431</v>
      </c>
      <c r="C26" s="766">
        <v>48000</v>
      </c>
      <c r="D26" s="556" t="s">
        <v>420</v>
      </c>
      <c r="F26" s="180" t="s">
        <v>432</v>
      </c>
    </row>
    <row r="27" spans="1:6" s="109" customFormat="1" ht="24" customHeight="1">
      <c r="A27" s="761" t="s">
        <v>433</v>
      </c>
      <c r="B27" s="767" t="s">
        <v>434</v>
      </c>
      <c r="C27" s="766">
        <f>'Bieu 4-KP thuc hanh thi nghiem'!H22</f>
        <v>919992</v>
      </c>
      <c r="D27" s="763" t="s">
        <v>340</v>
      </c>
      <c r="F27" s="180" t="s">
        <v>435</v>
      </c>
    </row>
    <row r="28" spans="1:6" s="109" customFormat="1" ht="24" customHeight="1">
      <c r="A28" s="769" t="s">
        <v>436</v>
      </c>
      <c r="B28" s="767" t="s">
        <v>437</v>
      </c>
      <c r="C28" s="766">
        <v>50000</v>
      </c>
      <c r="D28" s="556" t="s">
        <v>438</v>
      </c>
      <c r="F28" s="180" t="s">
        <v>439</v>
      </c>
    </row>
    <row r="29" spans="1:6" s="109" customFormat="1" ht="24" customHeight="1">
      <c r="A29" s="761" t="s">
        <v>440</v>
      </c>
      <c r="B29" s="767" t="s">
        <v>1362</v>
      </c>
      <c r="C29" s="766">
        <f>'Bieu 2a DH va tren DH'!L10*100</f>
        <v>915600</v>
      </c>
      <c r="D29" s="556" t="s">
        <v>441</v>
      </c>
      <c r="F29" s="180" t="s">
        <v>442</v>
      </c>
    </row>
    <row r="30" spans="1:6" s="109" customFormat="1" ht="24" customHeight="1">
      <c r="A30" s="769" t="s">
        <v>443</v>
      </c>
      <c r="B30" s="767" t="s">
        <v>444</v>
      </c>
      <c r="C30" s="766">
        <v>0</v>
      </c>
      <c r="D30" s="763"/>
      <c r="F30" s="180"/>
    </row>
    <row r="31" spans="1:6" s="109" customFormat="1" ht="24" customHeight="1">
      <c r="A31" s="761" t="s">
        <v>445</v>
      </c>
      <c r="B31" s="763" t="s">
        <v>446</v>
      </c>
      <c r="C31" s="766">
        <f>'Bieu5-Nhu cau mua sam sua chua'!H65</f>
        <v>47000</v>
      </c>
      <c r="D31" s="763" t="s">
        <v>341</v>
      </c>
      <c r="F31" s="180"/>
    </row>
    <row r="32" spans="1:6" s="109" customFormat="1" ht="72" customHeight="1">
      <c r="A32" s="769" t="s">
        <v>447</v>
      </c>
      <c r="B32" s="767" t="s">
        <v>448</v>
      </c>
      <c r="C32" s="766">
        <f>'Bieu 4-KP thuc hanh thi nghiem'!H22</f>
        <v>919992</v>
      </c>
      <c r="D32" s="763" t="s">
        <v>340</v>
      </c>
      <c r="F32" s="180" t="s">
        <v>449</v>
      </c>
    </row>
    <row r="33" spans="1:6" s="109" customFormat="1" ht="24" customHeight="1">
      <c r="A33" s="769">
        <v>2.9</v>
      </c>
      <c r="B33" s="767" t="s">
        <v>450</v>
      </c>
      <c r="C33" s="766">
        <v>36194</v>
      </c>
      <c r="D33" s="763"/>
      <c r="F33" s="183" t="s">
        <v>480</v>
      </c>
    </row>
    <row r="34" spans="1:6" s="109" customFormat="1" ht="38.25" customHeight="1">
      <c r="A34" s="1230" t="s">
        <v>451</v>
      </c>
      <c r="B34" s="767" t="s">
        <v>452</v>
      </c>
      <c r="C34" s="765">
        <f>47*4000+3.9+4.2+7.8+2.6</f>
        <v>188018.5</v>
      </c>
      <c r="D34" s="558" t="s">
        <v>453</v>
      </c>
      <c r="E34" s="134"/>
      <c r="F34" s="186" t="s">
        <v>1410</v>
      </c>
    </row>
    <row r="35" spans="1:6" s="109" customFormat="1" ht="48" customHeight="1">
      <c r="A35" s="1230"/>
      <c r="B35" s="767" t="s">
        <v>621</v>
      </c>
      <c r="C35" s="765">
        <f>8000*120</f>
        <v>960000</v>
      </c>
      <c r="D35" s="767"/>
      <c r="E35" s="134"/>
      <c r="F35" s="186" t="s">
        <v>622</v>
      </c>
    </row>
    <row r="36" spans="1:6" s="109" customFormat="1" ht="35.15" customHeight="1">
      <c r="A36" s="1230" t="s">
        <v>454</v>
      </c>
      <c r="B36" s="767" t="s">
        <v>455</v>
      </c>
      <c r="C36" s="765">
        <v>90000</v>
      </c>
      <c r="D36" s="767"/>
      <c r="E36" s="134"/>
      <c r="F36" s="186" t="s">
        <v>469</v>
      </c>
    </row>
    <row r="37" spans="1:6" s="109" customFormat="1" ht="38.25" customHeight="1">
      <c r="A37" s="1231" t="s">
        <v>454</v>
      </c>
      <c r="B37" s="767" t="s">
        <v>456</v>
      </c>
      <c r="C37" s="765">
        <v>20000</v>
      </c>
      <c r="D37" s="558" t="s">
        <v>453</v>
      </c>
      <c r="E37" s="134"/>
      <c r="F37" s="186" t="s">
        <v>457</v>
      </c>
    </row>
    <row r="38" spans="1:6" s="109" customFormat="1" ht="24" customHeight="1">
      <c r="A38" s="768">
        <v>3</v>
      </c>
      <c r="B38" s="770" t="s">
        <v>458</v>
      </c>
      <c r="C38" s="760">
        <f>SUM(C39:C41)</f>
        <v>1135831.1000000001</v>
      </c>
      <c r="D38" s="763" t="s">
        <v>341</v>
      </c>
      <c r="F38" s="180"/>
    </row>
    <row r="39" spans="1:6" s="109" customFormat="1" ht="24" customHeight="1">
      <c r="A39" s="771">
        <v>3.1</v>
      </c>
      <c r="B39" s="767" t="s">
        <v>459</v>
      </c>
      <c r="C39" s="766">
        <f>'Bieu5-Nhu cau mua sam sua chua'!H6</f>
        <v>24000</v>
      </c>
      <c r="D39" s="763"/>
      <c r="F39" s="180"/>
    </row>
    <row r="40" spans="1:6" s="109" customFormat="1" ht="24" customHeight="1">
      <c r="A40" s="771">
        <v>3.2</v>
      </c>
      <c r="B40" s="767" t="s">
        <v>282</v>
      </c>
      <c r="C40" s="766">
        <f>'Bieu5-Nhu cau mua sam sua chua'!H9</f>
        <v>17380</v>
      </c>
      <c r="D40" s="763"/>
      <c r="F40" s="180"/>
    </row>
    <row r="41" spans="1:6" s="109" customFormat="1" ht="24" customHeight="1">
      <c r="A41" s="771">
        <v>3.3</v>
      </c>
      <c r="B41" s="767" t="s">
        <v>460</v>
      </c>
      <c r="C41" s="766">
        <f>10%*'9a Tong thu DH va SDH'!AC12</f>
        <v>1094451.1000000001</v>
      </c>
      <c r="D41" s="763"/>
      <c r="F41" s="180" t="s">
        <v>461</v>
      </c>
    </row>
    <row r="42" spans="1:6" s="109" customFormat="1" ht="24" customHeight="1">
      <c r="A42" s="772">
        <v>4</v>
      </c>
      <c r="B42" s="770" t="s">
        <v>456</v>
      </c>
      <c r="C42" s="760">
        <f>SUM(C43:C44)</f>
        <v>50000</v>
      </c>
      <c r="D42" s="763"/>
      <c r="F42" s="180"/>
    </row>
    <row r="43" spans="1:6" s="109" customFormat="1" ht="24" customHeight="1">
      <c r="A43" s="771">
        <v>4.0999999999999996</v>
      </c>
      <c r="B43" s="763" t="s">
        <v>462</v>
      </c>
      <c r="C43" s="766">
        <v>40000</v>
      </c>
      <c r="D43" s="763"/>
      <c r="F43" s="180"/>
    </row>
    <row r="44" spans="1:6" s="109" customFormat="1" ht="24" customHeight="1">
      <c r="A44" s="771">
        <v>4.2</v>
      </c>
      <c r="B44" s="763" t="s">
        <v>463</v>
      </c>
      <c r="C44" s="766">
        <v>10000</v>
      </c>
      <c r="D44" s="763"/>
      <c r="F44" s="180"/>
    </row>
    <row r="45" spans="1:6" s="109" customFormat="1" ht="24" customHeight="1">
      <c r="A45" s="761"/>
      <c r="B45" s="773"/>
      <c r="C45" s="774"/>
      <c r="D45" s="763"/>
      <c r="F45" s="180"/>
    </row>
    <row r="46" spans="1:6">
      <c r="C46" s="640"/>
      <c r="D46" s="190"/>
    </row>
    <row r="47" spans="1:6">
      <c r="C47" s="641"/>
      <c r="D47" s="192" t="s">
        <v>314</v>
      </c>
      <c r="E47" s="193"/>
    </row>
    <row r="48" spans="1:6">
      <c r="C48" s="1541" t="s">
        <v>1427</v>
      </c>
      <c r="D48" s="1541"/>
      <c r="E48" s="194"/>
    </row>
    <row r="49" spans="2:5">
      <c r="C49" s="642"/>
      <c r="D49" s="195"/>
      <c r="E49" s="194"/>
    </row>
    <row r="50" spans="2:5">
      <c r="C50" s="642"/>
      <c r="D50" s="195"/>
      <c r="E50" s="194"/>
    </row>
    <row r="51" spans="2:5">
      <c r="C51" s="642"/>
      <c r="D51" s="195"/>
      <c r="E51" s="194"/>
    </row>
    <row r="52" spans="2:5">
      <c r="C52" s="1542" t="s">
        <v>1428</v>
      </c>
      <c r="D52" s="1542"/>
      <c r="E52" s="194"/>
    </row>
    <row r="53" spans="2:5">
      <c r="C53" s="642"/>
      <c r="D53" s="195"/>
      <c r="E53" s="194"/>
    </row>
    <row r="54" spans="2:5">
      <c r="C54" s="642"/>
      <c r="D54" s="195"/>
      <c r="E54" s="194"/>
    </row>
    <row r="55" spans="2:5" ht="63" customHeight="1">
      <c r="B55" s="1538" t="s">
        <v>464</v>
      </c>
      <c r="C55" s="1538"/>
      <c r="D55" s="1538"/>
    </row>
  </sheetData>
  <mergeCells count="8">
    <mergeCell ref="B55:D55"/>
    <mergeCell ref="A1:B1"/>
    <mergeCell ref="C1:D1"/>
    <mergeCell ref="A2:B2"/>
    <mergeCell ref="A4:D4"/>
    <mergeCell ref="C5:D5"/>
    <mergeCell ref="C48:D48"/>
    <mergeCell ref="C52:D52"/>
  </mergeCells>
  <pageMargins left="0.68" right="0.17" top="0.75" bottom="0.17" header="0.3" footer="0.3"/>
  <pageSetup paperSize="9"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F24"/>
  <sheetViews>
    <sheetView workbookViewId="0">
      <selection activeCell="C18" sqref="C18:D18"/>
    </sheetView>
  </sheetViews>
  <sheetFormatPr defaultColWidth="9" defaultRowHeight="18"/>
  <cols>
    <col min="1" max="1" width="5.08203125" style="167" customWidth="1"/>
    <col min="2" max="2" width="44.33203125" style="167" customWidth="1"/>
    <col min="3" max="3" width="21.33203125" style="167" customWidth="1"/>
    <col min="4" max="4" width="20.9140625" style="167" customWidth="1"/>
    <col min="5" max="16384" width="9" style="167"/>
  </cols>
  <sheetData>
    <row r="1" spans="1:6">
      <c r="A1" s="1490" t="s">
        <v>471</v>
      </c>
      <c r="B1" s="1490"/>
      <c r="C1" s="165"/>
      <c r="D1" s="95" t="s">
        <v>472</v>
      </c>
      <c r="E1" s="165"/>
      <c r="F1" s="165"/>
    </row>
    <row r="2" spans="1:6">
      <c r="A2" s="1544" t="s">
        <v>1363</v>
      </c>
      <c r="B2" s="1544"/>
      <c r="C2" s="165"/>
      <c r="D2" s="165"/>
      <c r="E2" s="165"/>
      <c r="F2" s="165"/>
    </row>
    <row r="3" spans="1:6">
      <c r="A3" s="165"/>
      <c r="B3" s="165"/>
      <c r="C3" s="165"/>
      <c r="D3" s="165"/>
      <c r="E3" s="165"/>
      <c r="F3" s="165"/>
    </row>
    <row r="4" spans="1:6">
      <c r="A4" s="1503" t="s">
        <v>473</v>
      </c>
      <c r="B4" s="1503"/>
      <c r="C4" s="1503"/>
      <c r="D4" s="1503"/>
      <c r="E4" s="165"/>
      <c r="F4" s="165"/>
    </row>
    <row r="5" spans="1:6" ht="18.5" thickBot="1">
      <c r="A5" s="165"/>
      <c r="B5" s="165"/>
      <c r="C5" s="1545" t="s">
        <v>399</v>
      </c>
      <c r="D5" s="1545"/>
      <c r="E5" s="165"/>
      <c r="F5" s="165"/>
    </row>
    <row r="6" spans="1:6" s="52" customFormat="1" ht="15.5" thickTop="1">
      <c r="A6" s="169" t="s">
        <v>307</v>
      </c>
      <c r="B6" s="170" t="s">
        <v>6</v>
      </c>
      <c r="C6" s="171" t="s">
        <v>474</v>
      </c>
      <c r="D6" s="172" t="s">
        <v>16</v>
      </c>
      <c r="E6" s="173"/>
      <c r="F6" s="173"/>
    </row>
    <row r="7" spans="1:6" s="118" customFormat="1" ht="15">
      <c r="A7" s="174" t="s">
        <v>17</v>
      </c>
      <c r="B7" s="175" t="s">
        <v>475</v>
      </c>
      <c r="C7" s="652">
        <f>SUM(C8:C10)</f>
        <v>131346871</v>
      </c>
      <c r="D7" s="176"/>
      <c r="E7" s="177"/>
      <c r="F7" s="177"/>
    </row>
    <row r="8" spans="1:6" s="109" customFormat="1" ht="15.5">
      <c r="A8" s="198">
        <v>1</v>
      </c>
      <c r="B8" s="181" t="s">
        <v>319</v>
      </c>
      <c r="C8" s="653">
        <f>'9a Tong thu DH va SDH'!AC17</f>
        <v>131346871</v>
      </c>
      <c r="D8" s="199"/>
      <c r="E8" s="200"/>
      <c r="F8" s="200"/>
    </row>
    <row r="9" spans="1:6" s="109" customFormat="1" ht="15.5">
      <c r="A9" s="201">
        <v>2</v>
      </c>
      <c r="B9" s="182" t="s">
        <v>476</v>
      </c>
      <c r="C9" s="182">
        <f>'[1]Bieu 9-Tong hop thu'!E61</f>
        <v>0</v>
      </c>
      <c r="D9" s="179"/>
      <c r="E9" s="200"/>
      <c r="F9" s="200"/>
    </row>
    <row r="10" spans="1:6" s="109" customFormat="1" ht="15.5">
      <c r="A10" s="202">
        <v>3</v>
      </c>
      <c r="B10" s="182" t="s">
        <v>331</v>
      </c>
      <c r="C10" s="182">
        <f>'[1]Bieu 9-Tong hop thu'!E60-'[1]Bieu 9-Tong hop thu'!E61</f>
        <v>0</v>
      </c>
      <c r="D10" s="179"/>
      <c r="E10" s="200"/>
      <c r="F10" s="200"/>
    </row>
    <row r="11" spans="1:6" s="109" customFormat="1" ht="15.5">
      <c r="A11" s="203"/>
      <c r="B11" s="204"/>
      <c r="C11" s="204"/>
      <c r="D11" s="205"/>
      <c r="E11" s="200"/>
      <c r="F11" s="200"/>
    </row>
    <row r="12" spans="1:6" s="118" customFormat="1" ht="15">
      <c r="A12" s="174" t="s">
        <v>178</v>
      </c>
      <c r="B12" s="657" t="s">
        <v>477</v>
      </c>
      <c r="C12" s="652">
        <f>'Bieu 10-Tong chi'!C7</f>
        <v>31974596.780416243</v>
      </c>
      <c r="D12" s="176"/>
      <c r="E12" s="177"/>
      <c r="F12" s="177"/>
    </row>
    <row r="13" spans="1:6" s="109" customFormat="1" ht="15.5">
      <c r="A13" s="198">
        <v>1</v>
      </c>
      <c r="B13" s="181" t="s">
        <v>402</v>
      </c>
      <c r="C13" s="653">
        <f>'Bieu 10-Tong chi'!C8</f>
        <v>26564395.180416241</v>
      </c>
      <c r="D13" s="199"/>
      <c r="E13" s="200"/>
      <c r="F13" s="200"/>
    </row>
    <row r="14" spans="1:6" s="109" customFormat="1" ht="15.5">
      <c r="A14" s="202">
        <v>2</v>
      </c>
      <c r="B14" s="182" t="s">
        <v>478</v>
      </c>
      <c r="C14" s="655">
        <f>'Bieu 10-Tong chi'!C24</f>
        <v>4319370.5</v>
      </c>
      <c r="D14" s="179"/>
      <c r="E14" s="200"/>
      <c r="F14" s="200"/>
    </row>
    <row r="15" spans="1:6" s="109" customFormat="1" ht="15.5">
      <c r="A15" s="206">
        <v>3</v>
      </c>
      <c r="B15" s="185" t="s">
        <v>458</v>
      </c>
      <c r="C15" s="656">
        <f>'Bieu 10-Tong chi'!C38</f>
        <v>1135831.1000000001</v>
      </c>
      <c r="D15" s="184"/>
      <c r="E15" s="200"/>
      <c r="F15" s="200"/>
    </row>
    <row r="16" spans="1:6" s="109" customFormat="1" ht="15.5">
      <c r="A16" s="206">
        <v>4</v>
      </c>
      <c r="B16" s="185" t="s">
        <v>285</v>
      </c>
      <c r="C16" s="656">
        <f>'Bieu 10-Tong chi'!C42</f>
        <v>50000</v>
      </c>
      <c r="D16" s="184"/>
      <c r="E16" s="200"/>
      <c r="F16" s="200"/>
    </row>
    <row r="17" spans="1:6" s="109" customFormat="1" ht="16" thickBot="1">
      <c r="A17" s="207"/>
      <c r="B17" s="208" t="s">
        <v>479</v>
      </c>
      <c r="C17" s="654">
        <f>C7-C12</f>
        <v>99372274.21958375</v>
      </c>
      <c r="D17" s="189"/>
      <c r="E17" s="200"/>
      <c r="F17" s="200"/>
    </row>
    <row r="18" spans="1:6" ht="18.5" thickTop="1">
      <c r="A18" s="165"/>
      <c r="B18" s="165"/>
      <c r="C18" s="1546" t="s">
        <v>314</v>
      </c>
      <c r="D18" s="1546"/>
      <c r="E18" s="165"/>
      <c r="F18" s="165"/>
    </row>
    <row r="19" spans="1:6">
      <c r="A19" s="165"/>
      <c r="B19" s="165"/>
      <c r="C19" s="1543" t="s">
        <v>1427</v>
      </c>
      <c r="D19" s="1543"/>
      <c r="E19" s="165"/>
      <c r="F19" s="165"/>
    </row>
    <row r="21" spans="1:6">
      <c r="B21" s="109"/>
    </row>
    <row r="22" spans="1:6">
      <c r="B22" s="109"/>
    </row>
    <row r="23" spans="1:6">
      <c r="B23" s="109"/>
      <c r="C23" s="1303" t="s">
        <v>1437</v>
      </c>
      <c r="D23" s="1303"/>
    </row>
    <row r="24" spans="1:6">
      <c r="B24" s="109"/>
    </row>
  </sheetData>
  <mergeCells count="7">
    <mergeCell ref="C23:D23"/>
    <mergeCell ref="C19:D19"/>
    <mergeCell ref="A1:B1"/>
    <mergeCell ref="A2:B2"/>
    <mergeCell ref="A4:D4"/>
    <mergeCell ref="C5:D5"/>
    <mergeCell ref="C18:D18"/>
  </mergeCells>
  <pageMargins left="0.7" right="0.44" top="0.75" bottom="0.75" header="0.3" footer="0.3"/>
  <pageSetup paperSize="9" scale="9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120"/>
  <sheetViews>
    <sheetView workbookViewId="0">
      <selection sqref="A1:L96"/>
    </sheetView>
  </sheetViews>
  <sheetFormatPr defaultColWidth="8.9140625" defaultRowHeight="14"/>
  <cols>
    <col min="1" max="1" width="4.9140625" style="527" customWidth="1"/>
    <col min="2" max="2" width="31" style="528" customWidth="1"/>
    <col min="3" max="10" width="8.08203125" style="528" customWidth="1"/>
    <col min="11" max="12" width="8.08203125" style="503" customWidth="1"/>
    <col min="13" max="13" width="68.9140625" style="528" customWidth="1"/>
    <col min="14" max="16384" width="8.9140625" style="503"/>
  </cols>
  <sheetData>
    <row r="1" spans="1:17" ht="14.25" customHeight="1">
      <c r="A1" s="1312" t="s">
        <v>0</v>
      </c>
      <c r="B1" s="1312"/>
      <c r="C1" s="1312"/>
      <c r="D1" s="520"/>
      <c r="E1" s="520"/>
      <c r="F1" s="520"/>
      <c r="G1" s="520"/>
      <c r="H1" s="520"/>
      <c r="I1" s="520"/>
      <c r="J1" s="520"/>
      <c r="K1" s="1308" t="s">
        <v>1</v>
      </c>
      <c r="L1" s="1308"/>
      <c r="M1" s="520"/>
      <c r="N1" s="502"/>
      <c r="O1" s="502"/>
      <c r="P1" s="502"/>
      <c r="Q1" s="502"/>
    </row>
    <row r="2" spans="1:17">
      <c r="A2" s="1309" t="s">
        <v>1363</v>
      </c>
      <c r="B2" s="1309"/>
      <c r="C2" s="1309"/>
      <c r="D2" s="520"/>
      <c r="E2" s="520"/>
      <c r="F2" s="520"/>
      <c r="G2" s="520"/>
      <c r="H2" s="520"/>
      <c r="I2" s="520"/>
      <c r="J2" s="520"/>
      <c r="K2" s="501"/>
      <c r="L2" s="501"/>
      <c r="M2" s="520"/>
      <c r="N2" s="502"/>
      <c r="O2" s="502"/>
      <c r="P2" s="502"/>
      <c r="Q2" s="502"/>
    </row>
    <row r="3" spans="1:17" ht="22.5" customHeight="1">
      <c r="A3" s="1309" t="s">
        <v>44</v>
      </c>
      <c r="B3" s="1309"/>
      <c r="C3" s="1309"/>
      <c r="D3" s="1309"/>
      <c r="E3" s="1309"/>
      <c r="F3" s="1309"/>
      <c r="G3" s="1309"/>
      <c r="H3" s="1309"/>
      <c r="I3" s="1309"/>
      <c r="J3" s="1309"/>
      <c r="K3" s="1309"/>
      <c r="L3" s="1309"/>
      <c r="M3" s="520"/>
      <c r="N3" s="502"/>
      <c r="O3" s="502"/>
      <c r="P3" s="502"/>
      <c r="Q3" s="502"/>
    </row>
    <row r="4" spans="1:17" ht="23.25" customHeight="1" thickBot="1">
      <c r="A4" s="504"/>
      <c r="B4" s="504"/>
      <c r="C4" s="504"/>
      <c r="D4" s="504"/>
      <c r="E4" s="504"/>
      <c r="F4" s="504"/>
      <c r="G4" s="504"/>
      <c r="H4" s="504"/>
      <c r="I4" s="504"/>
      <c r="J4" s="504"/>
      <c r="K4" s="504"/>
      <c r="L4" s="1057" t="s">
        <v>4</v>
      </c>
      <c r="M4" s="520"/>
      <c r="N4" s="502"/>
      <c r="O4" s="502"/>
      <c r="P4" s="502"/>
      <c r="Q4" s="502"/>
    </row>
    <row r="5" spans="1:17" ht="35.25" customHeight="1">
      <c r="A5" s="1028" t="s">
        <v>5</v>
      </c>
      <c r="B5" s="1029" t="s">
        <v>6</v>
      </c>
      <c r="C5" s="1029" t="s">
        <v>7</v>
      </c>
      <c r="D5" s="1029" t="s">
        <v>8</v>
      </c>
      <c r="E5" s="1029" t="s">
        <v>9</v>
      </c>
      <c r="F5" s="1029" t="s">
        <v>10</v>
      </c>
      <c r="G5" s="1029" t="s">
        <v>11</v>
      </c>
      <c r="H5" s="1029" t="s">
        <v>12</v>
      </c>
      <c r="I5" s="1029" t="s">
        <v>13</v>
      </c>
      <c r="J5" s="1029" t="s">
        <v>14</v>
      </c>
      <c r="K5" s="1029" t="s">
        <v>15</v>
      </c>
      <c r="L5" s="1030" t="s">
        <v>16</v>
      </c>
      <c r="M5" s="520"/>
      <c r="N5" s="502"/>
      <c r="O5" s="502"/>
      <c r="P5" s="502"/>
      <c r="Q5" s="502"/>
    </row>
    <row r="6" spans="1:17" s="1059" customFormat="1" ht="19.5" customHeight="1">
      <c r="A6" s="1070" t="s">
        <v>17</v>
      </c>
      <c r="B6" s="1066" t="s">
        <v>45</v>
      </c>
      <c r="C6" s="1037"/>
      <c r="D6" s="1033"/>
      <c r="E6" s="1033"/>
      <c r="F6" s="1033"/>
      <c r="G6" s="1033"/>
      <c r="H6" s="1033"/>
      <c r="I6" s="1033"/>
      <c r="J6" s="1033"/>
      <c r="K6" s="1033"/>
      <c r="L6" s="1039"/>
      <c r="M6" s="1058"/>
      <c r="N6" s="532"/>
      <c r="O6" s="532"/>
      <c r="P6" s="532"/>
      <c r="Q6" s="532"/>
    </row>
    <row r="7" spans="1:17" s="1059" customFormat="1" ht="19.5" customHeight="1">
      <c r="A7" s="1070" t="s">
        <v>19</v>
      </c>
      <c r="B7" s="1066" t="s">
        <v>509</v>
      </c>
      <c r="C7" s="1037"/>
      <c r="D7" s="1033"/>
      <c r="E7" s="1033"/>
      <c r="F7" s="1033"/>
      <c r="G7" s="1033"/>
      <c r="H7" s="1033"/>
      <c r="I7" s="1033"/>
      <c r="J7" s="1033"/>
      <c r="K7" s="1033"/>
      <c r="L7" s="1039"/>
      <c r="M7" s="1058"/>
      <c r="N7" s="532"/>
      <c r="O7" s="532"/>
      <c r="P7" s="532"/>
      <c r="Q7" s="532"/>
    </row>
    <row r="8" spans="1:17" s="1059" customFormat="1" ht="73.5" customHeight="1">
      <c r="A8" s="1040" t="s">
        <v>21</v>
      </c>
      <c r="B8" s="1041" t="s">
        <v>46</v>
      </c>
      <c r="C8" s="1037" t="s">
        <v>47</v>
      </c>
      <c r="D8" s="1069">
        <v>0</v>
      </c>
      <c r="E8" s="1069">
        <v>0</v>
      </c>
      <c r="F8" s="1069">
        <v>235</v>
      </c>
      <c r="G8" s="1069">
        <v>0</v>
      </c>
      <c r="H8" s="1069">
        <v>0</v>
      </c>
      <c r="I8" s="1069">
        <v>0</v>
      </c>
      <c r="J8" s="1069">
        <v>133</v>
      </c>
      <c r="K8" s="1069">
        <v>368</v>
      </c>
      <c r="L8" s="1039"/>
      <c r="M8" s="1058"/>
      <c r="N8" s="532"/>
      <c r="O8" s="532"/>
      <c r="P8" s="532"/>
      <c r="Q8" s="532"/>
    </row>
    <row r="9" spans="1:17" s="1059" customFormat="1" ht="26">
      <c r="A9" s="1040"/>
      <c r="B9" s="711" t="s">
        <v>48</v>
      </c>
      <c r="C9" s="1037" t="s">
        <v>47</v>
      </c>
      <c r="D9" s="1067"/>
      <c r="E9" s="1067"/>
      <c r="F9" s="1067">
        <v>0</v>
      </c>
      <c r="G9" s="1067"/>
      <c r="H9" s="1067"/>
      <c r="I9" s="1067"/>
      <c r="J9" s="1067"/>
      <c r="K9" s="1067">
        <v>0</v>
      </c>
      <c r="L9" s="1039"/>
      <c r="M9" s="1058"/>
      <c r="N9" s="532"/>
      <c r="O9" s="532"/>
      <c r="P9" s="532"/>
      <c r="Q9" s="532"/>
    </row>
    <row r="10" spans="1:17" s="1059" customFormat="1">
      <c r="A10" s="1040"/>
      <c r="B10" s="711" t="s">
        <v>49</v>
      </c>
      <c r="C10" s="1037" t="s">
        <v>47</v>
      </c>
      <c r="D10" s="1067"/>
      <c r="E10" s="1067"/>
      <c r="F10" s="1067">
        <v>175</v>
      </c>
      <c r="G10" s="1067"/>
      <c r="H10" s="1067"/>
      <c r="I10" s="1067"/>
      <c r="J10" s="1067">
        <v>123</v>
      </c>
      <c r="K10" s="1067">
        <v>298</v>
      </c>
      <c r="L10" s="1039"/>
      <c r="M10" s="1058"/>
      <c r="N10" s="532"/>
      <c r="O10" s="532"/>
      <c r="P10" s="532"/>
      <c r="Q10" s="532"/>
    </row>
    <row r="11" spans="1:17" s="1059" customFormat="1">
      <c r="A11" s="1040"/>
      <c r="B11" s="711" t="s">
        <v>50</v>
      </c>
      <c r="C11" s="1037" t="s">
        <v>47</v>
      </c>
      <c r="D11" s="1067"/>
      <c r="E11" s="1067"/>
      <c r="F11" s="1067">
        <v>60</v>
      </c>
      <c r="G11" s="1067"/>
      <c r="H11" s="1067"/>
      <c r="I11" s="1067"/>
      <c r="J11" s="1067">
        <v>10</v>
      </c>
      <c r="K11" s="1067">
        <v>70</v>
      </c>
      <c r="L11" s="1039"/>
      <c r="M11" s="1058"/>
      <c r="N11" s="532"/>
      <c r="O11" s="532"/>
      <c r="P11" s="532"/>
      <c r="Q11" s="532"/>
    </row>
    <row r="12" spans="1:17" s="1059" customFormat="1" ht="62.25" customHeight="1">
      <c r="A12" s="1040" t="s">
        <v>30</v>
      </c>
      <c r="B12" s="1041" t="s">
        <v>51</v>
      </c>
      <c r="C12" s="1037" t="s">
        <v>47</v>
      </c>
      <c r="D12" s="1067">
        <v>0</v>
      </c>
      <c r="E12" s="1067">
        <v>0</v>
      </c>
      <c r="F12" s="1067">
        <v>175</v>
      </c>
      <c r="G12" s="1067">
        <v>0</v>
      </c>
      <c r="H12" s="1067">
        <v>0</v>
      </c>
      <c r="I12" s="1067">
        <v>0</v>
      </c>
      <c r="J12" s="1067">
        <v>123</v>
      </c>
      <c r="K12" s="1067">
        <v>298</v>
      </c>
      <c r="L12" s="1039"/>
      <c r="M12" s="1058"/>
      <c r="N12" s="532"/>
      <c r="O12" s="532"/>
      <c r="P12" s="532"/>
      <c r="Q12" s="532"/>
    </row>
    <row r="13" spans="1:17" s="1059" customFormat="1" ht="26">
      <c r="A13" s="1040"/>
      <c r="B13" s="711" t="s">
        <v>48</v>
      </c>
      <c r="C13" s="1037" t="s">
        <v>47</v>
      </c>
      <c r="D13" s="1067"/>
      <c r="E13" s="1067"/>
      <c r="F13" s="1067">
        <v>0</v>
      </c>
      <c r="G13" s="1067"/>
      <c r="H13" s="1067"/>
      <c r="I13" s="1067"/>
      <c r="J13" s="1067"/>
      <c r="K13" s="1067">
        <v>0</v>
      </c>
      <c r="L13" s="1039"/>
      <c r="M13" s="1058"/>
      <c r="N13" s="532"/>
      <c r="O13" s="532"/>
      <c r="P13" s="532"/>
      <c r="Q13" s="532"/>
    </row>
    <row r="14" spans="1:17" s="1059" customFormat="1">
      <c r="A14" s="1040"/>
      <c r="B14" s="711" t="s">
        <v>49</v>
      </c>
      <c r="C14" s="1037" t="s">
        <v>47</v>
      </c>
      <c r="D14" s="1067"/>
      <c r="E14" s="1067"/>
      <c r="F14" s="1067">
        <v>175</v>
      </c>
      <c r="G14" s="1067"/>
      <c r="H14" s="1067"/>
      <c r="I14" s="1067"/>
      <c r="J14" s="1067">
        <v>123</v>
      </c>
      <c r="K14" s="1067">
        <v>298</v>
      </c>
      <c r="L14" s="1039"/>
      <c r="M14" s="1058"/>
      <c r="N14" s="532"/>
      <c r="O14" s="532"/>
      <c r="P14" s="532"/>
      <c r="Q14" s="532"/>
    </row>
    <row r="15" spans="1:17" s="1059" customFormat="1">
      <c r="A15" s="1040"/>
      <c r="B15" s="711" t="s">
        <v>50</v>
      </c>
      <c r="C15" s="1037" t="s">
        <v>47</v>
      </c>
      <c r="D15" s="1067"/>
      <c r="E15" s="1067"/>
      <c r="F15" s="1067">
        <v>0</v>
      </c>
      <c r="G15" s="1067"/>
      <c r="H15" s="1067"/>
      <c r="I15" s="1067"/>
      <c r="J15" s="1067"/>
      <c r="K15" s="1067">
        <v>0</v>
      </c>
      <c r="L15" s="1039"/>
      <c r="M15" s="1058"/>
      <c r="N15" s="532"/>
      <c r="O15" s="532"/>
      <c r="P15" s="532"/>
      <c r="Q15" s="532"/>
    </row>
    <row r="16" spans="1:17" s="1059" customFormat="1" ht="54">
      <c r="A16" s="1040" t="s">
        <v>32</v>
      </c>
      <c r="B16" s="1044" t="s">
        <v>52</v>
      </c>
      <c r="C16" s="1037" t="s">
        <v>47</v>
      </c>
      <c r="D16" s="1067">
        <v>0</v>
      </c>
      <c r="E16" s="1067"/>
      <c r="F16" s="1067"/>
      <c r="G16" s="1067"/>
      <c r="H16" s="1067"/>
      <c r="I16" s="1067"/>
      <c r="J16" s="1067">
        <v>0</v>
      </c>
      <c r="K16" s="1067">
        <v>0</v>
      </c>
      <c r="L16" s="1039"/>
      <c r="M16" s="1058"/>
      <c r="N16" s="532"/>
      <c r="O16" s="532"/>
      <c r="P16" s="532"/>
      <c r="Q16" s="532"/>
    </row>
    <row r="17" spans="1:17" s="1059" customFormat="1">
      <c r="A17" s="1040"/>
      <c r="B17" s="711" t="s">
        <v>53</v>
      </c>
      <c r="C17" s="1037" t="s">
        <v>47</v>
      </c>
      <c r="D17" s="1067"/>
      <c r="E17" s="1067"/>
      <c r="F17" s="1067">
        <v>60</v>
      </c>
      <c r="G17" s="1067"/>
      <c r="H17" s="1067"/>
      <c r="I17" s="1067"/>
      <c r="J17" s="1067">
        <v>60</v>
      </c>
      <c r="K17" s="1067">
        <v>120</v>
      </c>
      <c r="L17" s="1039"/>
      <c r="M17" s="1058"/>
      <c r="N17" s="532"/>
      <c r="O17" s="532"/>
      <c r="P17" s="532"/>
      <c r="Q17" s="532"/>
    </row>
    <row r="18" spans="1:17" s="514" customFormat="1" ht="76.5" customHeight="1">
      <c r="A18" s="1040" t="s">
        <v>35</v>
      </c>
      <c r="B18" s="1041" t="s">
        <v>54</v>
      </c>
      <c r="C18" s="1037" t="s">
        <v>47</v>
      </c>
      <c r="D18" s="1068">
        <v>0</v>
      </c>
      <c r="E18" s="1068">
        <v>0</v>
      </c>
      <c r="F18" s="1068">
        <v>120</v>
      </c>
      <c r="G18" s="1068">
        <v>0</v>
      </c>
      <c r="H18" s="1068">
        <v>0</v>
      </c>
      <c r="I18" s="1068">
        <v>0</v>
      </c>
      <c r="J18" s="1068">
        <v>70</v>
      </c>
      <c r="K18" s="1067">
        <v>190</v>
      </c>
      <c r="L18" s="1047"/>
      <c r="M18" s="1060"/>
      <c r="N18" s="513"/>
      <c r="O18" s="513"/>
      <c r="P18" s="513"/>
      <c r="Q18" s="513"/>
    </row>
    <row r="19" spans="1:17" s="1059" customFormat="1" ht="26">
      <c r="A19" s="1040"/>
      <c r="B19" s="711" t="s">
        <v>48</v>
      </c>
      <c r="C19" s="1037" t="s">
        <v>47</v>
      </c>
      <c r="D19" s="1067">
        <v>0</v>
      </c>
      <c r="E19" s="1067"/>
      <c r="F19" s="1067"/>
      <c r="G19" s="1067"/>
      <c r="H19" s="1067"/>
      <c r="I19" s="1067"/>
      <c r="J19" s="1067"/>
      <c r="K19" s="1067">
        <v>0</v>
      </c>
      <c r="L19" s="1039"/>
      <c r="M19" s="1058"/>
      <c r="N19" s="532"/>
      <c r="O19" s="532"/>
      <c r="P19" s="532"/>
      <c r="Q19" s="532"/>
    </row>
    <row r="20" spans="1:17" s="1059" customFormat="1">
      <c r="A20" s="1040"/>
      <c r="B20" s="711" t="s">
        <v>49</v>
      </c>
      <c r="C20" s="1037" t="s">
        <v>47</v>
      </c>
      <c r="D20" s="1067">
        <v>0</v>
      </c>
      <c r="E20" s="1067"/>
      <c r="F20" s="1067"/>
      <c r="G20" s="1067"/>
      <c r="H20" s="1067"/>
      <c r="I20" s="1067"/>
      <c r="J20" s="1067"/>
      <c r="K20" s="1067"/>
      <c r="L20" s="1039"/>
      <c r="M20" s="1058"/>
      <c r="N20" s="532"/>
      <c r="O20" s="532"/>
      <c r="P20" s="532"/>
      <c r="Q20" s="532"/>
    </row>
    <row r="21" spans="1:17" s="1059" customFormat="1">
      <c r="A21" s="1040"/>
      <c r="B21" s="711" t="s">
        <v>50</v>
      </c>
      <c r="C21" s="1037" t="s">
        <v>47</v>
      </c>
      <c r="D21" s="1067">
        <v>0</v>
      </c>
      <c r="E21" s="1067"/>
      <c r="F21" s="1067">
        <v>60</v>
      </c>
      <c r="G21" s="1067"/>
      <c r="H21" s="1067"/>
      <c r="I21" s="1067"/>
      <c r="J21" s="1067">
        <v>10</v>
      </c>
      <c r="K21" s="1067">
        <v>70</v>
      </c>
      <c r="L21" s="1039"/>
      <c r="M21" s="1058"/>
      <c r="N21" s="532"/>
      <c r="O21" s="532"/>
      <c r="P21" s="532"/>
      <c r="Q21" s="532"/>
    </row>
    <row r="22" spans="1:17" s="1059" customFormat="1">
      <c r="A22" s="1040"/>
      <c r="B22" s="711" t="s">
        <v>53</v>
      </c>
      <c r="C22" s="1037" t="s">
        <v>47</v>
      </c>
      <c r="D22" s="1067">
        <v>0</v>
      </c>
      <c r="E22" s="1067"/>
      <c r="F22" s="1067">
        <v>60</v>
      </c>
      <c r="G22" s="1067"/>
      <c r="H22" s="1067"/>
      <c r="I22" s="1067"/>
      <c r="J22" s="1067">
        <v>60</v>
      </c>
      <c r="K22" s="1067">
        <v>120</v>
      </c>
      <c r="L22" s="1039"/>
      <c r="M22" s="1058"/>
      <c r="N22" s="532"/>
      <c r="O22" s="532"/>
      <c r="P22" s="532"/>
      <c r="Q22" s="532"/>
    </row>
    <row r="23" spans="1:17" s="1059" customFormat="1" ht="19.5" customHeight="1">
      <c r="A23" s="1070" t="s">
        <v>41</v>
      </c>
      <c r="B23" s="1066" t="s">
        <v>510</v>
      </c>
      <c r="C23" s="1037"/>
      <c r="D23" s="1069"/>
      <c r="E23" s="1069"/>
      <c r="F23" s="1069"/>
      <c r="G23" s="1069"/>
      <c r="H23" s="1069"/>
      <c r="I23" s="1069"/>
      <c r="J23" s="1069"/>
      <c r="K23" s="1069"/>
      <c r="L23" s="1039"/>
      <c r="M23" s="1058"/>
      <c r="N23" s="532"/>
      <c r="O23" s="532"/>
      <c r="P23" s="532"/>
      <c r="Q23" s="532"/>
    </row>
    <row r="24" spans="1:17" s="1059" customFormat="1" ht="73.5" customHeight="1">
      <c r="A24" s="1040" t="s">
        <v>21</v>
      </c>
      <c r="B24" s="1041" t="s">
        <v>46</v>
      </c>
      <c r="C24" s="1037" t="s">
        <v>47</v>
      </c>
      <c r="D24" s="1067">
        <v>0</v>
      </c>
      <c r="E24" s="1067">
        <v>0</v>
      </c>
      <c r="F24" s="1067">
        <v>1</v>
      </c>
      <c r="G24" s="1067">
        <v>0</v>
      </c>
      <c r="H24" s="1067">
        <v>0</v>
      </c>
      <c r="I24" s="1067">
        <v>0</v>
      </c>
      <c r="J24" s="1067">
        <v>3</v>
      </c>
      <c r="K24" s="1067">
        <v>4</v>
      </c>
      <c r="L24" s="1039"/>
      <c r="M24" s="1058"/>
      <c r="N24" s="532"/>
      <c r="O24" s="532"/>
      <c r="P24" s="532"/>
      <c r="Q24" s="532"/>
    </row>
    <row r="25" spans="1:17" s="1059" customFormat="1" ht="26">
      <c r="A25" s="1040"/>
      <c r="B25" s="711" t="s">
        <v>48</v>
      </c>
      <c r="C25" s="1037" t="s">
        <v>47</v>
      </c>
      <c r="D25" s="1067"/>
      <c r="E25" s="1067"/>
      <c r="F25" s="1067"/>
      <c r="G25" s="1067"/>
      <c r="H25" s="1067"/>
      <c r="I25" s="1067"/>
      <c r="J25" s="1067"/>
      <c r="K25" s="1067">
        <v>0</v>
      </c>
      <c r="L25" s="1039"/>
      <c r="M25" s="1058"/>
      <c r="N25" s="532"/>
      <c r="O25" s="532"/>
      <c r="P25" s="532"/>
      <c r="Q25" s="532"/>
    </row>
    <row r="26" spans="1:17" s="1059" customFormat="1">
      <c r="A26" s="1040"/>
      <c r="B26" s="711" t="s">
        <v>49</v>
      </c>
      <c r="C26" s="1037" t="s">
        <v>47</v>
      </c>
      <c r="D26" s="1067"/>
      <c r="E26" s="1067"/>
      <c r="F26" s="1067">
        <v>1</v>
      </c>
      <c r="G26" s="1067"/>
      <c r="H26" s="1067"/>
      <c r="I26" s="1067"/>
      <c r="J26" s="1067">
        <v>3</v>
      </c>
      <c r="K26" s="1067">
        <v>4</v>
      </c>
      <c r="L26" s="1039"/>
      <c r="M26" s="1058"/>
      <c r="N26" s="532"/>
      <c r="O26" s="532"/>
      <c r="P26" s="532"/>
      <c r="Q26" s="532"/>
    </row>
    <row r="27" spans="1:17" s="1059" customFormat="1">
      <c r="A27" s="1040"/>
      <c r="B27" s="711" t="s">
        <v>50</v>
      </c>
      <c r="C27" s="1037" t="s">
        <v>47</v>
      </c>
      <c r="D27" s="1067"/>
      <c r="E27" s="1067"/>
      <c r="F27" s="1067"/>
      <c r="G27" s="1067"/>
      <c r="H27" s="1067"/>
      <c r="I27" s="1067"/>
      <c r="J27" s="1067"/>
      <c r="K27" s="1067">
        <v>0</v>
      </c>
      <c r="L27" s="1039"/>
      <c r="M27" s="1058"/>
      <c r="N27" s="532"/>
      <c r="O27" s="532"/>
      <c r="P27" s="532"/>
      <c r="Q27" s="532"/>
    </row>
    <row r="28" spans="1:17" s="1059" customFormat="1" ht="62.25" customHeight="1">
      <c r="A28" s="1040" t="s">
        <v>30</v>
      </c>
      <c r="B28" s="1041" t="s">
        <v>51</v>
      </c>
      <c r="C28" s="1037" t="s">
        <v>47</v>
      </c>
      <c r="D28" s="1067">
        <v>0</v>
      </c>
      <c r="E28" s="1067">
        <v>0</v>
      </c>
      <c r="F28" s="1067">
        <v>1</v>
      </c>
      <c r="G28" s="1067">
        <v>0</v>
      </c>
      <c r="H28" s="1067">
        <v>0</v>
      </c>
      <c r="I28" s="1067">
        <v>0</v>
      </c>
      <c r="J28" s="1067">
        <v>3</v>
      </c>
      <c r="K28" s="1067">
        <v>4</v>
      </c>
      <c r="L28" s="1039"/>
      <c r="M28" s="1058"/>
      <c r="N28" s="532"/>
      <c r="O28" s="532"/>
      <c r="P28" s="532"/>
      <c r="Q28" s="532"/>
    </row>
    <row r="29" spans="1:17" s="1059" customFormat="1" ht="26">
      <c r="A29" s="1040"/>
      <c r="B29" s="711" t="s">
        <v>48</v>
      </c>
      <c r="C29" s="1037" t="s">
        <v>47</v>
      </c>
      <c r="D29" s="1067"/>
      <c r="E29" s="1067"/>
      <c r="F29" s="1067">
        <v>0</v>
      </c>
      <c r="G29" s="1067"/>
      <c r="H29" s="1067"/>
      <c r="I29" s="1067"/>
      <c r="J29" s="1067"/>
      <c r="K29" s="1067">
        <v>0</v>
      </c>
      <c r="L29" s="1039"/>
      <c r="M29" s="1058"/>
      <c r="N29" s="532"/>
      <c r="O29" s="532"/>
      <c r="P29" s="532"/>
      <c r="Q29" s="532"/>
    </row>
    <row r="30" spans="1:17" s="1059" customFormat="1">
      <c r="A30" s="1040"/>
      <c r="B30" s="711" t="s">
        <v>49</v>
      </c>
      <c r="C30" s="1037" t="s">
        <v>47</v>
      </c>
      <c r="D30" s="1067"/>
      <c r="E30" s="1067"/>
      <c r="F30" s="1067">
        <v>1</v>
      </c>
      <c r="G30" s="1067"/>
      <c r="H30" s="1067"/>
      <c r="I30" s="1067"/>
      <c r="J30" s="1067">
        <v>3</v>
      </c>
      <c r="K30" s="1067"/>
      <c r="L30" s="1039"/>
      <c r="M30" s="1058"/>
      <c r="N30" s="532"/>
      <c r="O30" s="532"/>
      <c r="P30" s="532"/>
      <c r="Q30" s="532"/>
    </row>
    <row r="31" spans="1:17" s="1059" customFormat="1">
      <c r="A31" s="1040"/>
      <c r="B31" s="711" t="s">
        <v>50</v>
      </c>
      <c r="C31" s="1037" t="s">
        <v>47</v>
      </c>
      <c r="D31" s="1067"/>
      <c r="E31" s="1067"/>
      <c r="F31" s="1067">
        <v>0</v>
      </c>
      <c r="G31" s="1067"/>
      <c r="H31" s="1067"/>
      <c r="I31" s="1067"/>
      <c r="J31" s="1067"/>
      <c r="K31" s="1067">
        <v>0</v>
      </c>
      <c r="L31" s="1039"/>
      <c r="M31" s="1058"/>
      <c r="N31" s="532"/>
      <c r="O31" s="532"/>
      <c r="P31" s="532"/>
      <c r="Q31" s="532"/>
    </row>
    <row r="32" spans="1:17" s="1059" customFormat="1" ht="54">
      <c r="A32" s="1040" t="s">
        <v>32</v>
      </c>
      <c r="B32" s="1044" t="s">
        <v>52</v>
      </c>
      <c r="C32" s="1037" t="s">
        <v>47</v>
      </c>
      <c r="D32" s="1067">
        <v>0</v>
      </c>
      <c r="E32" s="1067"/>
      <c r="F32" s="1067">
        <v>1</v>
      </c>
      <c r="G32" s="1067"/>
      <c r="H32" s="1067"/>
      <c r="I32" s="1067"/>
      <c r="J32" s="1067">
        <v>3</v>
      </c>
      <c r="K32" s="1067">
        <v>4</v>
      </c>
      <c r="L32" s="1039"/>
      <c r="M32" s="1058"/>
      <c r="N32" s="532"/>
      <c r="O32" s="532"/>
      <c r="P32" s="532"/>
      <c r="Q32" s="532"/>
    </row>
    <row r="33" spans="1:17" s="1059" customFormat="1">
      <c r="A33" s="1040"/>
      <c r="B33" s="711" t="s">
        <v>53</v>
      </c>
      <c r="C33" s="1037" t="s">
        <v>47</v>
      </c>
      <c r="D33" s="1067"/>
      <c r="E33" s="1067"/>
      <c r="F33" s="1067">
        <v>1</v>
      </c>
      <c r="G33" s="1067"/>
      <c r="H33" s="1067"/>
      <c r="I33" s="1067"/>
      <c r="J33" s="1067">
        <v>3</v>
      </c>
      <c r="K33" s="1067">
        <v>4</v>
      </c>
      <c r="L33" s="1039"/>
      <c r="M33" s="1058"/>
      <c r="N33" s="532"/>
      <c r="O33" s="532"/>
      <c r="P33" s="532"/>
      <c r="Q33" s="532"/>
    </row>
    <row r="34" spans="1:17" s="514" customFormat="1" ht="76.5" customHeight="1">
      <c r="A34" s="1040" t="s">
        <v>35</v>
      </c>
      <c r="B34" s="1041" t="s">
        <v>54</v>
      </c>
      <c r="C34" s="1037" t="s">
        <v>47</v>
      </c>
      <c r="D34" s="1068">
        <v>0</v>
      </c>
      <c r="E34" s="1068">
        <v>0</v>
      </c>
      <c r="F34" s="1068">
        <v>1</v>
      </c>
      <c r="G34" s="1068">
        <v>0</v>
      </c>
      <c r="H34" s="1068">
        <v>0</v>
      </c>
      <c r="I34" s="1068">
        <v>0</v>
      </c>
      <c r="J34" s="1068">
        <v>3</v>
      </c>
      <c r="K34" s="1067">
        <v>4</v>
      </c>
      <c r="L34" s="1047"/>
      <c r="M34" s="1060"/>
      <c r="N34" s="513"/>
      <c r="O34" s="513"/>
      <c r="P34" s="513"/>
      <c r="Q34" s="513"/>
    </row>
    <row r="35" spans="1:17" s="1059" customFormat="1" ht="26">
      <c r="A35" s="1040"/>
      <c r="B35" s="711" t="s">
        <v>48</v>
      </c>
      <c r="C35" s="1037" t="s">
        <v>47</v>
      </c>
      <c r="D35" s="1067">
        <v>0</v>
      </c>
      <c r="E35" s="1067"/>
      <c r="F35" s="1067">
        <v>0</v>
      </c>
      <c r="G35" s="1067"/>
      <c r="H35" s="1067"/>
      <c r="I35" s="1067"/>
      <c r="J35" s="1067"/>
      <c r="K35" s="1067">
        <v>0</v>
      </c>
      <c r="L35" s="1039"/>
      <c r="M35" s="1058"/>
      <c r="N35" s="532"/>
      <c r="O35" s="532"/>
      <c r="P35" s="532"/>
      <c r="Q35" s="532"/>
    </row>
    <row r="36" spans="1:17" s="1059" customFormat="1">
      <c r="A36" s="1040"/>
      <c r="B36" s="711" t="s">
        <v>49</v>
      </c>
      <c r="C36" s="1037" t="s">
        <v>47</v>
      </c>
      <c r="D36" s="1067">
        <v>0</v>
      </c>
      <c r="E36" s="1067"/>
      <c r="F36" s="1067">
        <v>0</v>
      </c>
      <c r="G36" s="1067"/>
      <c r="H36" s="1067"/>
      <c r="I36" s="1067"/>
      <c r="J36" s="1067"/>
      <c r="K36" s="1067">
        <v>0</v>
      </c>
      <c r="L36" s="1039"/>
      <c r="M36" s="1058"/>
      <c r="N36" s="532"/>
      <c r="O36" s="532"/>
      <c r="P36" s="532"/>
      <c r="Q36" s="532"/>
    </row>
    <row r="37" spans="1:17" s="1059" customFormat="1">
      <c r="A37" s="1040"/>
      <c r="B37" s="711" t="s">
        <v>50</v>
      </c>
      <c r="C37" s="1037" t="s">
        <v>47</v>
      </c>
      <c r="D37" s="1067">
        <v>0</v>
      </c>
      <c r="E37" s="1067"/>
      <c r="F37" s="1067">
        <v>0</v>
      </c>
      <c r="G37" s="1067"/>
      <c r="H37" s="1067"/>
      <c r="I37" s="1067"/>
      <c r="J37" s="1067">
        <v>0</v>
      </c>
      <c r="K37" s="1067">
        <v>0</v>
      </c>
      <c r="L37" s="1039"/>
      <c r="M37" s="1058"/>
      <c r="N37" s="532"/>
      <c r="O37" s="532"/>
      <c r="P37" s="532"/>
      <c r="Q37" s="532"/>
    </row>
    <row r="38" spans="1:17" s="1059" customFormat="1">
      <c r="A38" s="1040"/>
      <c r="B38" s="711" t="s">
        <v>53</v>
      </c>
      <c r="C38" s="1037" t="s">
        <v>47</v>
      </c>
      <c r="D38" s="1067">
        <v>0</v>
      </c>
      <c r="E38" s="1067"/>
      <c r="F38" s="1067">
        <v>1</v>
      </c>
      <c r="G38" s="1067"/>
      <c r="H38" s="1067"/>
      <c r="I38" s="1067"/>
      <c r="J38" s="1067">
        <v>3</v>
      </c>
      <c r="K38" s="1067">
        <v>4</v>
      </c>
      <c r="L38" s="1039"/>
      <c r="M38" s="1058"/>
      <c r="N38" s="532"/>
      <c r="O38" s="532"/>
      <c r="P38" s="532"/>
      <c r="Q38" s="532"/>
    </row>
    <row r="39" spans="1:17" s="1059" customFormat="1" ht="19.5" customHeight="1">
      <c r="A39" s="1070" t="s">
        <v>17</v>
      </c>
      <c r="B39" s="1066" t="s">
        <v>55</v>
      </c>
      <c r="C39" s="1037"/>
      <c r="D39" s="1069"/>
      <c r="E39" s="1069"/>
      <c r="F39" s="1069"/>
      <c r="G39" s="1069"/>
      <c r="H39" s="1069"/>
      <c r="I39" s="1069"/>
      <c r="J39" s="1069"/>
      <c r="K39" s="1069"/>
      <c r="L39" s="1039"/>
      <c r="M39" s="1058"/>
      <c r="N39" s="532"/>
      <c r="O39" s="532"/>
      <c r="P39" s="532"/>
      <c r="Q39" s="532"/>
    </row>
    <row r="40" spans="1:17" s="1059" customFormat="1" ht="27.75" customHeight="1">
      <c r="A40" s="1048" t="s">
        <v>19</v>
      </c>
      <c r="B40" s="1066" t="s">
        <v>511</v>
      </c>
      <c r="C40" s="1037"/>
      <c r="D40" s="1069"/>
      <c r="E40" s="1069"/>
      <c r="F40" s="1069"/>
      <c r="G40" s="1069"/>
      <c r="H40" s="1069"/>
      <c r="I40" s="1069"/>
      <c r="J40" s="1069"/>
      <c r="K40" s="1069"/>
      <c r="L40" s="1039"/>
      <c r="M40" s="1058"/>
      <c r="N40" s="532"/>
      <c r="O40" s="532"/>
      <c r="P40" s="532"/>
      <c r="Q40" s="532"/>
    </row>
    <row r="41" spans="1:17" s="514" customFormat="1" ht="67.5">
      <c r="A41" s="1043" t="s">
        <v>21</v>
      </c>
      <c r="B41" s="1041" t="s">
        <v>46</v>
      </c>
      <c r="C41" s="1045" t="s">
        <v>56</v>
      </c>
      <c r="D41" s="1068">
        <v>0</v>
      </c>
      <c r="E41" s="1068"/>
      <c r="F41" s="1068"/>
      <c r="G41" s="1068"/>
      <c r="H41" s="1068"/>
      <c r="I41" s="1068"/>
      <c r="J41" s="1068">
        <v>8</v>
      </c>
      <c r="K41" s="1068">
        <v>8</v>
      </c>
      <c r="L41" s="1047"/>
      <c r="M41" s="1060"/>
      <c r="N41" s="513"/>
      <c r="O41" s="513"/>
      <c r="P41" s="513"/>
      <c r="Q41" s="513"/>
    </row>
    <row r="42" spans="1:17" s="1059" customFormat="1" ht="26">
      <c r="A42" s="1040"/>
      <c r="B42" s="711" t="s">
        <v>57</v>
      </c>
      <c r="C42" s="1037"/>
      <c r="D42" s="1067"/>
      <c r="E42" s="1067"/>
      <c r="F42" s="1067">
        <v>0</v>
      </c>
      <c r="G42" s="1067"/>
      <c r="H42" s="1067"/>
      <c r="I42" s="1067"/>
      <c r="J42" s="1067"/>
      <c r="K42" s="1067">
        <v>0</v>
      </c>
      <c r="L42" s="1039"/>
      <c r="M42" s="1058"/>
      <c r="N42" s="532"/>
      <c r="O42" s="532"/>
      <c r="P42" s="532"/>
      <c r="Q42" s="532"/>
    </row>
    <row r="43" spans="1:17" s="1059" customFormat="1">
      <c r="A43" s="1040"/>
      <c r="B43" s="711" t="s">
        <v>58</v>
      </c>
      <c r="C43" s="1037"/>
      <c r="D43" s="1067"/>
      <c r="E43" s="1067"/>
      <c r="F43" s="1067">
        <v>0</v>
      </c>
      <c r="G43" s="1067"/>
      <c r="H43" s="1067"/>
      <c r="I43" s="1067"/>
      <c r="J43" s="1067">
        <v>3</v>
      </c>
      <c r="K43" s="1067">
        <v>3</v>
      </c>
      <c r="L43" s="1039"/>
      <c r="M43" s="1058"/>
      <c r="N43" s="532"/>
      <c r="O43" s="532"/>
      <c r="P43" s="532"/>
      <c r="Q43" s="532"/>
    </row>
    <row r="44" spans="1:17" s="1059" customFormat="1">
      <c r="A44" s="1040"/>
      <c r="B44" s="711" t="s">
        <v>59</v>
      </c>
      <c r="C44" s="1037"/>
      <c r="D44" s="1067"/>
      <c r="E44" s="1067"/>
      <c r="F44" s="1067">
        <v>0</v>
      </c>
      <c r="G44" s="1067"/>
      <c r="H44" s="1067"/>
      <c r="I44" s="1067"/>
      <c r="J44" s="1067">
        <v>1</v>
      </c>
      <c r="K44" s="1067">
        <v>1</v>
      </c>
      <c r="L44" s="1039"/>
      <c r="M44" s="1058"/>
      <c r="N44" s="532"/>
      <c r="O44" s="532"/>
      <c r="P44" s="532"/>
      <c r="Q44" s="532"/>
    </row>
    <row r="45" spans="1:17" s="1059" customFormat="1">
      <c r="A45" s="1040"/>
      <c r="B45" s="711" t="s">
        <v>60</v>
      </c>
      <c r="C45" s="1037"/>
      <c r="D45" s="1067"/>
      <c r="E45" s="1067"/>
      <c r="F45" s="1067">
        <v>0</v>
      </c>
      <c r="G45" s="1067"/>
      <c r="H45" s="1067"/>
      <c r="I45" s="1067"/>
      <c r="J45" s="1067">
        <v>1</v>
      </c>
      <c r="K45" s="1067">
        <v>1</v>
      </c>
      <c r="L45" s="1039"/>
      <c r="M45" s="1058"/>
      <c r="N45" s="532"/>
      <c r="O45" s="532"/>
      <c r="P45" s="532"/>
      <c r="Q45" s="532"/>
    </row>
    <row r="46" spans="1:17" s="1059" customFormat="1">
      <c r="A46" s="1040"/>
      <c r="B46" s="711" t="s">
        <v>61</v>
      </c>
      <c r="C46" s="1037"/>
      <c r="D46" s="1067"/>
      <c r="E46" s="1067"/>
      <c r="F46" s="1067">
        <v>0</v>
      </c>
      <c r="G46" s="1067"/>
      <c r="H46" s="1067"/>
      <c r="I46" s="1067"/>
      <c r="J46" s="1067">
        <v>2</v>
      </c>
      <c r="K46" s="1067">
        <v>2</v>
      </c>
      <c r="L46" s="1039"/>
      <c r="M46" s="1058"/>
      <c r="N46" s="532"/>
      <c r="O46" s="532"/>
      <c r="P46" s="532"/>
      <c r="Q46" s="532"/>
    </row>
    <row r="47" spans="1:17" s="1059" customFormat="1">
      <c r="A47" s="1040"/>
      <c r="B47" s="711" t="s">
        <v>62</v>
      </c>
      <c r="C47" s="1037"/>
      <c r="D47" s="1067"/>
      <c r="E47" s="1067"/>
      <c r="F47" s="1067">
        <v>0</v>
      </c>
      <c r="G47" s="1067"/>
      <c r="H47" s="1067"/>
      <c r="I47" s="1067"/>
      <c r="J47" s="1067">
        <v>1</v>
      </c>
      <c r="K47" s="1067">
        <v>1</v>
      </c>
      <c r="L47" s="1039"/>
      <c r="M47" s="1058"/>
      <c r="N47" s="532"/>
      <c r="O47" s="532"/>
      <c r="P47" s="532"/>
      <c r="Q47" s="532"/>
    </row>
    <row r="48" spans="1:17" s="514" customFormat="1" ht="54">
      <c r="A48" s="1043" t="s">
        <v>30</v>
      </c>
      <c r="B48" s="1041" t="s">
        <v>51</v>
      </c>
      <c r="C48" s="1045" t="s">
        <v>56</v>
      </c>
      <c r="D48" s="1068">
        <v>0</v>
      </c>
      <c r="E48" s="1068">
        <v>0</v>
      </c>
      <c r="F48" s="1068">
        <v>0</v>
      </c>
      <c r="G48" s="1068">
        <v>0</v>
      </c>
      <c r="H48" s="1068">
        <v>0</v>
      </c>
      <c r="I48" s="1068">
        <v>0</v>
      </c>
      <c r="J48" s="1068">
        <v>1</v>
      </c>
      <c r="K48" s="1068">
        <v>1</v>
      </c>
      <c r="L48" s="1047"/>
      <c r="M48" s="1060"/>
      <c r="N48" s="513"/>
      <c r="O48" s="513"/>
      <c r="P48" s="513"/>
      <c r="Q48" s="513"/>
    </row>
    <row r="49" spans="1:17" s="1059" customFormat="1" ht="26">
      <c r="A49" s="1040"/>
      <c r="B49" s="711" t="s">
        <v>57</v>
      </c>
      <c r="C49" s="1037"/>
      <c r="D49" s="1067"/>
      <c r="E49" s="1067"/>
      <c r="F49" s="1067">
        <v>0</v>
      </c>
      <c r="G49" s="1067"/>
      <c r="H49" s="1067"/>
      <c r="I49" s="1067"/>
      <c r="J49" s="1067"/>
      <c r="K49" s="1067">
        <v>0</v>
      </c>
      <c r="L49" s="1039"/>
      <c r="M49" s="1058"/>
      <c r="N49" s="532"/>
      <c r="O49" s="532"/>
      <c r="P49" s="532"/>
      <c r="Q49" s="532"/>
    </row>
    <row r="50" spans="1:17" s="1059" customFormat="1">
      <c r="A50" s="1040"/>
      <c r="B50" s="711" t="s">
        <v>58</v>
      </c>
      <c r="C50" s="1037"/>
      <c r="D50" s="1067"/>
      <c r="E50" s="1067"/>
      <c r="F50" s="1067">
        <v>0</v>
      </c>
      <c r="G50" s="1067"/>
      <c r="H50" s="1067"/>
      <c r="I50" s="1067"/>
      <c r="J50" s="1067">
        <v>1</v>
      </c>
      <c r="K50" s="1067">
        <v>1</v>
      </c>
      <c r="L50" s="1039"/>
      <c r="M50" s="1058"/>
      <c r="N50" s="532"/>
      <c r="O50" s="532"/>
      <c r="P50" s="532"/>
      <c r="Q50" s="532"/>
    </row>
    <row r="51" spans="1:17" s="1059" customFormat="1">
      <c r="A51" s="1040"/>
      <c r="B51" s="711" t="s">
        <v>59</v>
      </c>
      <c r="C51" s="1037"/>
      <c r="D51" s="1067"/>
      <c r="E51" s="1067"/>
      <c r="F51" s="1067">
        <v>0</v>
      </c>
      <c r="G51" s="1067"/>
      <c r="H51" s="1067"/>
      <c r="I51" s="1067"/>
      <c r="J51" s="1067"/>
      <c r="K51" s="1067">
        <v>0</v>
      </c>
      <c r="L51" s="1039"/>
      <c r="M51" s="1058"/>
      <c r="N51" s="532"/>
      <c r="O51" s="532"/>
      <c r="P51" s="532"/>
      <c r="Q51" s="532"/>
    </row>
    <row r="52" spans="1:17" s="1059" customFormat="1">
      <c r="A52" s="1040"/>
      <c r="B52" s="711" t="s">
        <v>60</v>
      </c>
      <c r="C52" s="1037"/>
      <c r="D52" s="1067"/>
      <c r="E52" s="1067"/>
      <c r="F52" s="1067">
        <v>0</v>
      </c>
      <c r="G52" s="1067"/>
      <c r="H52" s="1067"/>
      <c r="I52" s="1067"/>
      <c r="J52" s="1067"/>
      <c r="K52" s="1067">
        <v>0</v>
      </c>
      <c r="L52" s="1039"/>
      <c r="M52" s="1058"/>
      <c r="N52" s="532"/>
      <c r="O52" s="532"/>
      <c r="P52" s="532"/>
      <c r="Q52" s="532"/>
    </row>
    <row r="53" spans="1:17" s="1059" customFormat="1">
      <c r="A53" s="1040"/>
      <c r="B53" s="711" t="s">
        <v>61</v>
      </c>
      <c r="C53" s="1037"/>
      <c r="D53" s="1067"/>
      <c r="E53" s="1067"/>
      <c r="F53" s="1067">
        <v>0</v>
      </c>
      <c r="G53" s="1067"/>
      <c r="H53" s="1067"/>
      <c r="I53" s="1067"/>
      <c r="J53" s="1067"/>
      <c r="K53" s="1067">
        <v>0</v>
      </c>
      <c r="L53" s="1039"/>
      <c r="M53" s="1058"/>
      <c r="N53" s="532"/>
      <c r="O53" s="532"/>
      <c r="P53" s="532"/>
      <c r="Q53" s="532"/>
    </row>
    <row r="54" spans="1:17" s="1059" customFormat="1">
      <c r="A54" s="1040"/>
      <c r="B54" s="711" t="s">
        <v>62</v>
      </c>
      <c r="C54" s="1037"/>
      <c r="D54" s="1067"/>
      <c r="E54" s="1067"/>
      <c r="F54" s="1067">
        <v>0</v>
      </c>
      <c r="G54" s="1067"/>
      <c r="H54" s="1067"/>
      <c r="I54" s="1067"/>
      <c r="J54" s="1067"/>
      <c r="K54" s="1067">
        <v>0</v>
      </c>
      <c r="L54" s="1039"/>
      <c r="M54" s="1058"/>
      <c r="N54" s="532"/>
      <c r="O54" s="532"/>
      <c r="P54" s="532"/>
      <c r="Q54" s="532"/>
    </row>
    <row r="55" spans="1:17" s="514" customFormat="1" ht="13.5">
      <c r="A55" s="1043" t="s">
        <v>32</v>
      </c>
      <c r="B55" s="1041" t="s">
        <v>63</v>
      </c>
      <c r="C55" s="1037" t="s">
        <v>56</v>
      </c>
      <c r="D55" s="1068">
        <v>0</v>
      </c>
      <c r="E55" s="1068"/>
      <c r="F55" s="1068">
        <v>0</v>
      </c>
      <c r="G55" s="1068"/>
      <c r="H55" s="1068"/>
      <c r="I55" s="1068"/>
      <c r="J55" s="1068">
        <v>0</v>
      </c>
      <c r="K55" s="1067">
        <v>0</v>
      </c>
      <c r="L55" s="1047"/>
      <c r="M55" s="1060"/>
      <c r="N55" s="513"/>
      <c r="O55" s="513"/>
      <c r="P55" s="513"/>
      <c r="Q55" s="513"/>
    </row>
    <row r="56" spans="1:17" s="1059" customFormat="1">
      <c r="A56" s="1040"/>
      <c r="B56" s="711" t="s">
        <v>64</v>
      </c>
      <c r="C56" s="1037" t="s">
        <v>56</v>
      </c>
      <c r="D56" s="1067"/>
      <c r="E56" s="1067"/>
      <c r="F56" s="1067">
        <v>0</v>
      </c>
      <c r="G56" s="1067"/>
      <c r="H56" s="1067"/>
      <c r="I56" s="1067"/>
      <c r="J56" s="1067">
        <v>1</v>
      </c>
      <c r="K56" s="1067">
        <v>1</v>
      </c>
      <c r="L56" s="1039"/>
      <c r="M56" s="1058"/>
      <c r="N56" s="532"/>
      <c r="O56" s="532"/>
      <c r="P56" s="532"/>
      <c r="Q56" s="532"/>
    </row>
    <row r="57" spans="1:17" s="514" customFormat="1" ht="67.5">
      <c r="A57" s="1043" t="s">
        <v>35</v>
      </c>
      <c r="B57" s="1041" t="s">
        <v>54</v>
      </c>
      <c r="C57" s="1045" t="s">
        <v>56</v>
      </c>
      <c r="D57" s="1068">
        <v>0</v>
      </c>
      <c r="E57" s="1068">
        <v>0</v>
      </c>
      <c r="F57" s="1068">
        <v>0</v>
      </c>
      <c r="G57" s="1068">
        <v>0</v>
      </c>
      <c r="H57" s="1068">
        <v>0</v>
      </c>
      <c r="I57" s="1068">
        <v>0</v>
      </c>
      <c r="J57" s="1068">
        <v>8</v>
      </c>
      <c r="K57" s="1068">
        <v>8</v>
      </c>
      <c r="L57" s="1047"/>
      <c r="M57" s="1060"/>
      <c r="N57" s="513"/>
      <c r="O57" s="513"/>
      <c r="P57" s="513"/>
      <c r="Q57" s="513"/>
    </row>
    <row r="58" spans="1:17" s="1059" customFormat="1" ht="26">
      <c r="A58" s="1040"/>
      <c r="B58" s="711" t="s">
        <v>57</v>
      </c>
      <c r="C58" s="1037"/>
      <c r="D58" s="1067"/>
      <c r="E58" s="1067"/>
      <c r="F58" s="1067">
        <v>0</v>
      </c>
      <c r="G58" s="1067"/>
      <c r="H58" s="1067"/>
      <c r="I58" s="1067"/>
      <c r="J58" s="1067"/>
      <c r="K58" s="1067">
        <v>0</v>
      </c>
      <c r="L58" s="1039"/>
      <c r="M58" s="1058"/>
      <c r="N58" s="532"/>
      <c r="O58" s="532"/>
      <c r="P58" s="532"/>
      <c r="Q58" s="532"/>
    </row>
    <row r="59" spans="1:17" s="1059" customFormat="1">
      <c r="A59" s="1040"/>
      <c r="B59" s="711" t="s">
        <v>58</v>
      </c>
      <c r="C59" s="1037"/>
      <c r="D59" s="1067"/>
      <c r="E59" s="1067"/>
      <c r="F59" s="1067">
        <v>0</v>
      </c>
      <c r="G59" s="1067"/>
      <c r="H59" s="1067"/>
      <c r="I59" s="1067"/>
      <c r="J59" s="1067">
        <v>2</v>
      </c>
      <c r="K59" s="1067">
        <v>2</v>
      </c>
      <c r="L59" s="1039"/>
      <c r="M59" s="1058"/>
      <c r="N59" s="532"/>
      <c r="O59" s="532"/>
      <c r="P59" s="532"/>
      <c r="Q59" s="532"/>
    </row>
    <row r="60" spans="1:17" s="1059" customFormat="1">
      <c r="A60" s="1040"/>
      <c r="B60" s="711" t="s">
        <v>59</v>
      </c>
      <c r="C60" s="1037"/>
      <c r="D60" s="1067"/>
      <c r="E60" s="1067"/>
      <c r="F60" s="1067">
        <v>0</v>
      </c>
      <c r="G60" s="1067"/>
      <c r="H60" s="1067"/>
      <c r="I60" s="1067"/>
      <c r="J60" s="1067">
        <v>1</v>
      </c>
      <c r="K60" s="1067">
        <v>1</v>
      </c>
      <c r="L60" s="1039"/>
      <c r="M60" s="1058"/>
      <c r="N60" s="532"/>
      <c r="O60" s="532"/>
      <c r="P60" s="532"/>
      <c r="Q60" s="532"/>
    </row>
    <row r="61" spans="1:17" s="1059" customFormat="1">
      <c r="A61" s="1040"/>
      <c r="B61" s="711" t="s">
        <v>60</v>
      </c>
      <c r="C61" s="1037"/>
      <c r="D61" s="1067"/>
      <c r="E61" s="1067"/>
      <c r="F61" s="1067">
        <v>0</v>
      </c>
      <c r="G61" s="1067"/>
      <c r="H61" s="1067"/>
      <c r="I61" s="1067"/>
      <c r="J61" s="1067">
        <v>1</v>
      </c>
      <c r="K61" s="1067">
        <v>1</v>
      </c>
      <c r="L61" s="1039"/>
      <c r="M61" s="1058"/>
      <c r="N61" s="532"/>
      <c r="O61" s="532"/>
      <c r="P61" s="532"/>
      <c r="Q61" s="532"/>
    </row>
    <row r="62" spans="1:17" s="1059" customFormat="1">
      <c r="A62" s="1040"/>
      <c r="B62" s="711" t="s">
        <v>61</v>
      </c>
      <c r="C62" s="1037"/>
      <c r="D62" s="1067"/>
      <c r="E62" s="1067"/>
      <c r="F62" s="1067">
        <v>0</v>
      </c>
      <c r="G62" s="1067"/>
      <c r="H62" s="1067"/>
      <c r="I62" s="1067"/>
      <c r="J62" s="1067">
        <v>2</v>
      </c>
      <c r="K62" s="1067">
        <v>2</v>
      </c>
      <c r="L62" s="1039"/>
      <c r="M62" s="1058"/>
      <c r="N62" s="532"/>
      <c r="O62" s="532"/>
      <c r="P62" s="532"/>
      <c r="Q62" s="532"/>
    </row>
    <row r="63" spans="1:17" s="1059" customFormat="1">
      <c r="A63" s="1040"/>
      <c r="B63" s="711" t="s">
        <v>62</v>
      </c>
      <c r="C63" s="1037"/>
      <c r="D63" s="1067"/>
      <c r="E63" s="1067"/>
      <c r="F63" s="1067">
        <v>0</v>
      </c>
      <c r="G63" s="1067"/>
      <c r="H63" s="1067"/>
      <c r="I63" s="1067"/>
      <c r="J63" s="1067">
        <v>1</v>
      </c>
      <c r="K63" s="1067">
        <v>1</v>
      </c>
      <c r="L63" s="1039"/>
      <c r="M63" s="1058"/>
      <c r="N63" s="532"/>
      <c r="O63" s="532"/>
      <c r="P63" s="532"/>
      <c r="Q63" s="532"/>
    </row>
    <row r="64" spans="1:17" s="1059" customFormat="1">
      <c r="A64" s="1040"/>
      <c r="B64" s="711" t="s">
        <v>64</v>
      </c>
      <c r="C64" s="1037" t="s">
        <v>56</v>
      </c>
      <c r="D64" s="1067"/>
      <c r="E64" s="1067"/>
      <c r="F64" s="1067">
        <v>0</v>
      </c>
      <c r="G64" s="1067"/>
      <c r="H64" s="1067"/>
      <c r="I64" s="1067"/>
      <c r="J64" s="1067">
        <v>1</v>
      </c>
      <c r="K64" s="1067">
        <v>1</v>
      </c>
      <c r="L64" s="1039"/>
      <c r="M64" s="1058"/>
      <c r="N64" s="532"/>
      <c r="O64" s="532"/>
      <c r="P64" s="532"/>
      <c r="Q64" s="532"/>
    </row>
    <row r="65" spans="1:17" s="1059" customFormat="1" ht="27.75" customHeight="1">
      <c r="A65" s="1048" t="s">
        <v>41</v>
      </c>
      <c r="B65" s="1066" t="s">
        <v>512</v>
      </c>
      <c r="C65" s="1037"/>
      <c r="D65" s="1069"/>
      <c r="E65" s="1069"/>
      <c r="F65" s="1069"/>
      <c r="G65" s="1069"/>
      <c r="H65" s="1069"/>
      <c r="I65" s="1069"/>
      <c r="J65" s="1069"/>
      <c r="K65" s="1069"/>
      <c r="L65" s="1039"/>
      <c r="M65" s="1058"/>
      <c r="N65" s="532"/>
      <c r="O65" s="532"/>
      <c r="P65" s="532"/>
      <c r="Q65" s="532"/>
    </row>
    <row r="66" spans="1:17" s="514" customFormat="1" ht="67.5">
      <c r="A66" s="1043" t="s">
        <v>21</v>
      </c>
      <c r="B66" s="1041" t="s">
        <v>46</v>
      </c>
      <c r="C66" s="1045" t="s">
        <v>56</v>
      </c>
      <c r="D66" s="1068">
        <v>0</v>
      </c>
      <c r="E66" s="1068"/>
      <c r="F66" s="1068"/>
      <c r="G66" s="1068"/>
      <c r="H66" s="1068"/>
      <c r="I66" s="1068"/>
      <c r="J66" s="1068">
        <v>0</v>
      </c>
      <c r="K66" s="1068">
        <v>0</v>
      </c>
      <c r="L66" s="1047"/>
      <c r="M66" s="1060"/>
      <c r="N66" s="513"/>
      <c r="O66" s="513"/>
      <c r="P66" s="513"/>
      <c r="Q66" s="513"/>
    </row>
    <row r="67" spans="1:17" s="1059" customFormat="1" ht="26">
      <c r="A67" s="1040"/>
      <c r="B67" s="711" t="s">
        <v>57</v>
      </c>
      <c r="C67" s="1037"/>
      <c r="D67" s="1067"/>
      <c r="E67" s="1067"/>
      <c r="F67" s="1067">
        <v>0</v>
      </c>
      <c r="G67" s="1067"/>
      <c r="H67" s="1067"/>
      <c r="I67" s="1067"/>
      <c r="J67" s="1067"/>
      <c r="K67" s="1067">
        <v>0</v>
      </c>
      <c r="L67" s="1039"/>
      <c r="M67" s="1058"/>
      <c r="N67" s="532"/>
      <c r="O67" s="532"/>
      <c r="P67" s="532"/>
      <c r="Q67" s="532"/>
    </row>
    <row r="68" spans="1:17" s="1059" customFormat="1">
      <c r="A68" s="1040"/>
      <c r="B68" s="711" t="s">
        <v>58</v>
      </c>
      <c r="C68" s="1037"/>
      <c r="D68" s="1067"/>
      <c r="E68" s="1067"/>
      <c r="F68" s="1067">
        <v>0</v>
      </c>
      <c r="G68" s="1067"/>
      <c r="H68" s="1067"/>
      <c r="I68" s="1067"/>
      <c r="J68" s="1067"/>
      <c r="K68" s="1067">
        <v>0</v>
      </c>
      <c r="L68" s="1039"/>
      <c r="M68" s="1058"/>
      <c r="N68" s="532"/>
      <c r="O68" s="532"/>
      <c r="P68" s="532"/>
      <c r="Q68" s="532"/>
    </row>
    <row r="69" spans="1:17" s="1059" customFormat="1">
      <c r="A69" s="1040"/>
      <c r="B69" s="711" t="s">
        <v>59</v>
      </c>
      <c r="C69" s="1037"/>
      <c r="D69" s="1067"/>
      <c r="E69" s="1067"/>
      <c r="F69" s="1067">
        <v>0</v>
      </c>
      <c r="G69" s="1067"/>
      <c r="H69" s="1067"/>
      <c r="I69" s="1067"/>
      <c r="J69" s="1067"/>
      <c r="K69" s="1067">
        <v>0</v>
      </c>
      <c r="L69" s="1039"/>
      <c r="M69" s="1058"/>
      <c r="N69" s="532"/>
      <c r="O69" s="532"/>
      <c r="P69" s="532"/>
      <c r="Q69" s="532"/>
    </row>
    <row r="70" spans="1:17" s="1059" customFormat="1">
      <c r="A70" s="1040"/>
      <c r="B70" s="711" t="s">
        <v>60</v>
      </c>
      <c r="C70" s="1037"/>
      <c r="D70" s="1067"/>
      <c r="E70" s="1067"/>
      <c r="F70" s="1067">
        <v>0</v>
      </c>
      <c r="G70" s="1067"/>
      <c r="H70" s="1067"/>
      <c r="I70" s="1067"/>
      <c r="J70" s="1067"/>
      <c r="K70" s="1067">
        <v>0</v>
      </c>
      <c r="L70" s="1039"/>
      <c r="M70" s="1058"/>
      <c r="N70" s="532"/>
      <c r="O70" s="532"/>
      <c r="P70" s="532"/>
      <c r="Q70" s="532"/>
    </row>
    <row r="71" spans="1:17" s="1059" customFormat="1">
      <c r="A71" s="1040"/>
      <c r="B71" s="711" t="s">
        <v>61</v>
      </c>
      <c r="C71" s="1037"/>
      <c r="D71" s="1067"/>
      <c r="E71" s="1067"/>
      <c r="F71" s="1067">
        <v>0</v>
      </c>
      <c r="G71" s="1067"/>
      <c r="H71" s="1067"/>
      <c r="I71" s="1067"/>
      <c r="J71" s="1067"/>
      <c r="K71" s="1067">
        <v>0</v>
      </c>
      <c r="L71" s="1039"/>
      <c r="M71" s="1058"/>
      <c r="N71" s="532"/>
      <c r="O71" s="532"/>
      <c r="P71" s="532"/>
      <c r="Q71" s="532"/>
    </row>
    <row r="72" spans="1:17" s="1059" customFormat="1">
      <c r="A72" s="1040"/>
      <c r="B72" s="711" t="s">
        <v>62</v>
      </c>
      <c r="C72" s="1037"/>
      <c r="D72" s="1067"/>
      <c r="E72" s="1067"/>
      <c r="F72" s="1067">
        <v>0</v>
      </c>
      <c r="G72" s="1067"/>
      <c r="H72" s="1067"/>
      <c r="I72" s="1067"/>
      <c r="J72" s="1067"/>
      <c r="K72" s="1067">
        <v>0</v>
      </c>
      <c r="L72" s="1039"/>
      <c r="M72" s="1058"/>
      <c r="N72" s="532"/>
      <c r="O72" s="532"/>
      <c r="P72" s="532"/>
      <c r="Q72" s="532"/>
    </row>
    <row r="73" spans="1:17" s="514" customFormat="1" ht="54">
      <c r="A73" s="1043" t="s">
        <v>30</v>
      </c>
      <c r="B73" s="1041" t="s">
        <v>51</v>
      </c>
      <c r="C73" s="1045" t="s">
        <v>56</v>
      </c>
      <c r="D73" s="1068">
        <v>0</v>
      </c>
      <c r="E73" s="1068">
        <v>0</v>
      </c>
      <c r="F73" s="1068">
        <v>0</v>
      </c>
      <c r="G73" s="1068">
        <v>0</v>
      </c>
      <c r="H73" s="1068">
        <v>0</v>
      </c>
      <c r="I73" s="1068">
        <v>0</v>
      </c>
      <c r="J73" s="1068">
        <v>0</v>
      </c>
      <c r="K73" s="1068">
        <v>0</v>
      </c>
      <c r="L73" s="1047"/>
      <c r="M73" s="1060"/>
      <c r="N73" s="513"/>
      <c r="O73" s="513"/>
      <c r="P73" s="513"/>
      <c r="Q73" s="513"/>
    </row>
    <row r="74" spans="1:17" s="1059" customFormat="1" ht="26">
      <c r="A74" s="1040"/>
      <c r="B74" s="711" t="s">
        <v>57</v>
      </c>
      <c r="C74" s="1037"/>
      <c r="D74" s="1067"/>
      <c r="E74" s="1067"/>
      <c r="F74" s="1067">
        <v>0</v>
      </c>
      <c r="G74" s="1067"/>
      <c r="H74" s="1067"/>
      <c r="I74" s="1067"/>
      <c r="J74" s="1067"/>
      <c r="K74" s="1067">
        <v>0</v>
      </c>
      <c r="L74" s="1039"/>
      <c r="M74" s="1058"/>
      <c r="N74" s="532"/>
      <c r="O74" s="532"/>
      <c r="P74" s="532"/>
      <c r="Q74" s="532"/>
    </row>
    <row r="75" spans="1:17" s="1059" customFormat="1">
      <c r="A75" s="1040"/>
      <c r="B75" s="711" t="s">
        <v>58</v>
      </c>
      <c r="C75" s="1037"/>
      <c r="D75" s="1067"/>
      <c r="E75" s="1067"/>
      <c r="F75" s="1067">
        <v>0</v>
      </c>
      <c r="G75" s="1067"/>
      <c r="H75" s="1067"/>
      <c r="I75" s="1067"/>
      <c r="J75" s="1067"/>
      <c r="K75" s="1067">
        <v>0</v>
      </c>
      <c r="L75" s="1039"/>
      <c r="M75" s="1058"/>
      <c r="N75" s="532"/>
      <c r="O75" s="532"/>
      <c r="P75" s="532"/>
      <c r="Q75" s="532"/>
    </row>
    <row r="76" spans="1:17" s="1059" customFormat="1">
      <c r="A76" s="1040"/>
      <c r="B76" s="711" t="s">
        <v>59</v>
      </c>
      <c r="C76" s="1037"/>
      <c r="D76" s="1067"/>
      <c r="E76" s="1067"/>
      <c r="F76" s="1067">
        <v>0</v>
      </c>
      <c r="G76" s="1067"/>
      <c r="H76" s="1067"/>
      <c r="I76" s="1067"/>
      <c r="J76" s="1067"/>
      <c r="K76" s="1067">
        <v>0</v>
      </c>
      <c r="L76" s="1039"/>
      <c r="M76" s="1058"/>
      <c r="N76" s="532"/>
      <c r="O76" s="532"/>
      <c r="P76" s="532"/>
      <c r="Q76" s="532"/>
    </row>
    <row r="77" spans="1:17" s="1059" customFormat="1">
      <c r="A77" s="1040"/>
      <c r="B77" s="711" t="s">
        <v>60</v>
      </c>
      <c r="C77" s="1037"/>
      <c r="D77" s="1067"/>
      <c r="E77" s="1067"/>
      <c r="F77" s="1067">
        <v>0</v>
      </c>
      <c r="G77" s="1067"/>
      <c r="H77" s="1067"/>
      <c r="I77" s="1067"/>
      <c r="J77" s="1067"/>
      <c r="K77" s="1067">
        <v>0</v>
      </c>
      <c r="L77" s="1039"/>
      <c r="M77" s="1058"/>
      <c r="N77" s="532"/>
      <c r="O77" s="532"/>
      <c r="P77" s="532"/>
      <c r="Q77" s="532"/>
    </row>
    <row r="78" spans="1:17" s="1059" customFormat="1">
      <c r="A78" s="1040"/>
      <c r="B78" s="711" t="s">
        <v>61</v>
      </c>
      <c r="C78" s="1037"/>
      <c r="D78" s="1067"/>
      <c r="E78" s="1067"/>
      <c r="F78" s="1067">
        <v>0</v>
      </c>
      <c r="G78" s="1067"/>
      <c r="H78" s="1067"/>
      <c r="I78" s="1067"/>
      <c r="J78" s="1067"/>
      <c r="K78" s="1067">
        <v>0</v>
      </c>
      <c r="L78" s="1039"/>
      <c r="M78" s="1058"/>
      <c r="N78" s="532"/>
      <c r="O78" s="532"/>
      <c r="P78" s="532"/>
      <c r="Q78" s="532"/>
    </row>
    <row r="79" spans="1:17" s="1059" customFormat="1">
      <c r="A79" s="1040"/>
      <c r="B79" s="711" t="s">
        <v>62</v>
      </c>
      <c r="C79" s="1037"/>
      <c r="D79" s="1067"/>
      <c r="E79" s="1067"/>
      <c r="F79" s="1067">
        <v>0</v>
      </c>
      <c r="G79" s="1067"/>
      <c r="H79" s="1067"/>
      <c r="I79" s="1067"/>
      <c r="J79" s="1067"/>
      <c r="K79" s="1067">
        <v>0</v>
      </c>
      <c r="L79" s="1039"/>
      <c r="M79" s="1058"/>
      <c r="N79" s="532"/>
      <c r="O79" s="532"/>
      <c r="P79" s="532"/>
      <c r="Q79" s="532"/>
    </row>
    <row r="80" spans="1:17" s="514" customFormat="1" ht="13.5">
      <c r="A80" s="1043" t="s">
        <v>32</v>
      </c>
      <c r="B80" s="1041" t="s">
        <v>63</v>
      </c>
      <c r="C80" s="1037" t="s">
        <v>56</v>
      </c>
      <c r="D80" s="1068">
        <v>0</v>
      </c>
      <c r="E80" s="1068"/>
      <c r="F80" s="1068">
        <v>0</v>
      </c>
      <c r="G80" s="1068"/>
      <c r="H80" s="1068"/>
      <c r="I80" s="1068"/>
      <c r="J80" s="1068">
        <v>0</v>
      </c>
      <c r="K80" s="1067">
        <v>0</v>
      </c>
      <c r="L80" s="1047"/>
      <c r="M80" s="1060"/>
      <c r="N80" s="513"/>
      <c r="O80" s="513"/>
      <c r="P80" s="513"/>
      <c r="Q80" s="513"/>
    </row>
    <row r="81" spans="1:17" s="1059" customFormat="1">
      <c r="A81" s="1040"/>
      <c r="B81" s="711" t="s">
        <v>64</v>
      </c>
      <c r="C81" s="1037" t="s">
        <v>56</v>
      </c>
      <c r="D81" s="1067"/>
      <c r="E81" s="1067"/>
      <c r="F81" s="1067">
        <v>0</v>
      </c>
      <c r="G81" s="1067"/>
      <c r="H81" s="1067"/>
      <c r="I81" s="1067"/>
      <c r="J81" s="1067"/>
      <c r="K81" s="1067"/>
      <c r="L81" s="1039"/>
      <c r="M81" s="1058"/>
      <c r="N81" s="532"/>
      <c r="O81" s="532"/>
      <c r="P81" s="532"/>
      <c r="Q81" s="532"/>
    </row>
    <row r="82" spans="1:17" s="514" customFormat="1" ht="67.5">
      <c r="A82" s="1043" t="s">
        <v>35</v>
      </c>
      <c r="B82" s="1041" t="s">
        <v>54</v>
      </c>
      <c r="C82" s="1045" t="s">
        <v>56</v>
      </c>
      <c r="D82" s="1068">
        <v>0</v>
      </c>
      <c r="E82" s="1068">
        <v>0</v>
      </c>
      <c r="F82" s="1068">
        <v>0</v>
      </c>
      <c r="G82" s="1068">
        <v>0</v>
      </c>
      <c r="H82" s="1068">
        <v>0</v>
      </c>
      <c r="I82" s="1068">
        <v>0</v>
      </c>
      <c r="J82" s="1068">
        <v>0</v>
      </c>
      <c r="K82" s="1068">
        <v>0</v>
      </c>
      <c r="L82" s="1047"/>
      <c r="M82" s="1060"/>
      <c r="N82" s="513"/>
      <c r="O82" s="513"/>
      <c r="P82" s="513"/>
      <c r="Q82" s="513"/>
    </row>
    <row r="83" spans="1:17" s="1059" customFormat="1" ht="26">
      <c r="A83" s="1040"/>
      <c r="B83" s="711" t="s">
        <v>57</v>
      </c>
      <c r="C83" s="1037"/>
      <c r="D83" s="1067"/>
      <c r="E83" s="1067"/>
      <c r="F83" s="1067">
        <v>0</v>
      </c>
      <c r="G83" s="1067"/>
      <c r="H83" s="1067"/>
      <c r="I83" s="1067"/>
      <c r="J83" s="1067"/>
      <c r="K83" s="1067">
        <v>0</v>
      </c>
      <c r="L83" s="1039"/>
      <c r="M83" s="1058"/>
      <c r="N83" s="532"/>
      <c r="O83" s="532"/>
      <c r="P83" s="532"/>
      <c r="Q83" s="532"/>
    </row>
    <row r="84" spans="1:17" s="1059" customFormat="1">
      <c r="A84" s="1040"/>
      <c r="B84" s="711" t="s">
        <v>58</v>
      </c>
      <c r="C84" s="1037"/>
      <c r="D84" s="1067"/>
      <c r="E84" s="1067"/>
      <c r="F84" s="1067">
        <v>0</v>
      </c>
      <c r="G84" s="1067"/>
      <c r="H84" s="1067"/>
      <c r="I84" s="1067"/>
      <c r="J84" s="1067"/>
      <c r="K84" s="1067">
        <v>0</v>
      </c>
      <c r="L84" s="1039"/>
      <c r="M84" s="1058"/>
      <c r="N84" s="532"/>
      <c r="O84" s="532"/>
      <c r="P84" s="532"/>
      <c r="Q84" s="532"/>
    </row>
    <row r="85" spans="1:17" s="1059" customFormat="1">
      <c r="A85" s="1040"/>
      <c r="B85" s="711" t="s">
        <v>59</v>
      </c>
      <c r="C85" s="1037"/>
      <c r="D85" s="1067"/>
      <c r="E85" s="1067"/>
      <c r="F85" s="1067">
        <v>0</v>
      </c>
      <c r="G85" s="1067"/>
      <c r="H85" s="1067"/>
      <c r="I85" s="1067"/>
      <c r="J85" s="1067"/>
      <c r="K85" s="1067">
        <v>0</v>
      </c>
      <c r="L85" s="1039"/>
      <c r="M85" s="1058"/>
      <c r="N85" s="532"/>
      <c r="O85" s="532"/>
      <c r="P85" s="532"/>
      <c r="Q85" s="532"/>
    </row>
    <row r="86" spans="1:17" s="1059" customFormat="1">
      <c r="A86" s="1040"/>
      <c r="B86" s="711" t="s">
        <v>60</v>
      </c>
      <c r="C86" s="1037"/>
      <c r="D86" s="1067"/>
      <c r="E86" s="1067"/>
      <c r="F86" s="1067">
        <v>0</v>
      </c>
      <c r="G86" s="1067"/>
      <c r="H86" s="1067"/>
      <c r="I86" s="1067"/>
      <c r="J86" s="1067"/>
      <c r="K86" s="1067">
        <v>0</v>
      </c>
      <c r="L86" s="1039"/>
      <c r="M86" s="1058"/>
      <c r="N86" s="532"/>
      <c r="O86" s="532"/>
      <c r="P86" s="532"/>
      <c r="Q86" s="532"/>
    </row>
    <row r="87" spans="1:17" s="1059" customFormat="1">
      <c r="A87" s="1040"/>
      <c r="B87" s="711" t="s">
        <v>61</v>
      </c>
      <c r="C87" s="1037"/>
      <c r="D87" s="1067"/>
      <c r="E87" s="1067"/>
      <c r="F87" s="1067">
        <v>0</v>
      </c>
      <c r="G87" s="1067"/>
      <c r="H87" s="1067"/>
      <c r="I87" s="1067"/>
      <c r="J87" s="1067"/>
      <c r="K87" s="1067">
        <v>0</v>
      </c>
      <c r="L87" s="1039"/>
      <c r="M87" s="1058"/>
      <c r="N87" s="532"/>
      <c r="O87" s="532"/>
      <c r="P87" s="532"/>
      <c r="Q87" s="532"/>
    </row>
    <row r="88" spans="1:17" s="1059" customFormat="1">
      <c r="A88" s="1040"/>
      <c r="B88" s="711" t="s">
        <v>62</v>
      </c>
      <c r="C88" s="1037"/>
      <c r="D88" s="1067"/>
      <c r="E88" s="1067"/>
      <c r="F88" s="1067">
        <v>0</v>
      </c>
      <c r="G88" s="1067"/>
      <c r="H88" s="1067"/>
      <c r="I88" s="1067"/>
      <c r="J88" s="1067"/>
      <c r="K88" s="1067">
        <v>0</v>
      </c>
      <c r="L88" s="1039"/>
      <c r="M88" s="1058"/>
      <c r="N88" s="532"/>
      <c r="O88" s="532"/>
      <c r="P88" s="532"/>
      <c r="Q88" s="532"/>
    </row>
    <row r="89" spans="1:17" s="1059" customFormat="1" ht="14.5" thickBot="1">
      <c r="A89" s="1052"/>
      <c r="B89" s="731" t="s">
        <v>64</v>
      </c>
      <c r="C89" s="1054" t="s">
        <v>56</v>
      </c>
      <c r="D89" s="1071"/>
      <c r="E89" s="1071"/>
      <c r="F89" s="1071">
        <v>0</v>
      </c>
      <c r="G89" s="1071"/>
      <c r="H89" s="1071"/>
      <c r="I89" s="1071"/>
      <c r="J89" s="1071"/>
      <c r="K89" s="1071">
        <v>0</v>
      </c>
      <c r="L89" s="1056"/>
      <c r="M89" s="1058"/>
      <c r="N89" s="532"/>
      <c r="O89" s="532"/>
      <c r="P89" s="532"/>
      <c r="Q89" s="532"/>
    </row>
    <row r="90" spans="1:17">
      <c r="A90" s="519"/>
      <c r="B90" s="520"/>
      <c r="C90" s="520"/>
      <c r="D90" s="520"/>
      <c r="E90" s="520"/>
      <c r="F90" s="520"/>
      <c r="G90" s="520"/>
      <c r="H90" s="520"/>
      <c r="I90" s="520"/>
      <c r="J90" s="1310"/>
      <c r="K90" s="1310"/>
      <c r="L90" s="1310"/>
      <c r="M90" s="520"/>
      <c r="N90" s="502"/>
      <c r="O90" s="502"/>
      <c r="P90" s="502"/>
      <c r="Q90" s="502"/>
    </row>
    <row r="91" spans="1:17" ht="12.75" customHeight="1">
      <c r="A91" s="519"/>
      <c r="B91" s="499"/>
      <c r="C91" s="520"/>
      <c r="D91" s="520"/>
      <c r="E91" s="520"/>
      <c r="F91" s="520"/>
      <c r="G91" s="520"/>
      <c r="H91" s="520"/>
      <c r="I91" s="520"/>
      <c r="J91" s="1311" t="s">
        <v>42</v>
      </c>
      <c r="K91" s="1311"/>
      <c r="L91" s="1311"/>
      <c r="M91" s="520"/>
      <c r="N91" s="502"/>
      <c r="O91" s="502"/>
      <c r="P91" s="502"/>
      <c r="Q91" s="502"/>
    </row>
    <row r="92" spans="1:17" ht="20.25" customHeight="1">
      <c r="A92" s="1305"/>
      <c r="B92" s="1306"/>
      <c r="C92" s="1306"/>
      <c r="D92" s="1061"/>
      <c r="E92" s="1061"/>
      <c r="F92" s="1061"/>
      <c r="G92" s="1061"/>
      <c r="H92" s="1061"/>
      <c r="I92" s="475"/>
      <c r="J92" s="1297" t="s">
        <v>1427</v>
      </c>
      <c r="K92" s="1297"/>
      <c r="L92" s="1297"/>
      <c r="M92" s="520"/>
      <c r="N92" s="502"/>
      <c r="O92" s="502"/>
      <c r="P92" s="502"/>
      <c r="Q92" s="502"/>
    </row>
    <row r="93" spans="1:17" ht="12.75" customHeight="1">
      <c r="A93" s="1062"/>
      <c r="B93" s="1062"/>
      <c r="C93" s="1062"/>
      <c r="D93" s="1062"/>
      <c r="E93" s="1062"/>
      <c r="F93" s="1062"/>
      <c r="G93" s="1062"/>
      <c r="H93" s="1062"/>
      <c r="I93" s="475"/>
      <c r="J93" s="1297"/>
      <c r="K93" s="1297"/>
      <c r="L93" s="1297"/>
      <c r="M93" s="520"/>
      <c r="N93" s="502"/>
      <c r="O93" s="502"/>
      <c r="P93" s="502"/>
      <c r="Q93" s="502"/>
    </row>
    <row r="94" spans="1:17" ht="12.75" customHeight="1">
      <c r="A94" s="1062"/>
      <c r="B94" s="1062"/>
      <c r="C94" s="1062"/>
      <c r="D94" s="1062"/>
      <c r="E94" s="1062"/>
      <c r="F94" s="1062"/>
      <c r="G94" s="1062"/>
      <c r="H94" s="1062"/>
      <c r="I94" s="1296"/>
      <c r="J94" s="1296"/>
      <c r="K94" s="1296"/>
      <c r="L94" s="1296"/>
      <c r="M94" s="520"/>
      <c r="N94" s="502"/>
      <c r="O94" s="502"/>
      <c r="P94" s="502"/>
      <c r="Q94" s="502"/>
    </row>
    <row r="95" spans="1:17" ht="12.75" customHeight="1">
      <c r="A95" s="1062"/>
      <c r="B95" s="1062"/>
      <c r="C95" s="1062"/>
      <c r="D95" s="1062"/>
      <c r="E95" s="1062"/>
      <c r="F95" s="1062"/>
      <c r="G95" s="1062"/>
      <c r="H95" s="1062"/>
      <c r="I95" s="474"/>
      <c r="J95" s="474"/>
      <c r="K95" s="474"/>
      <c r="L95" s="53"/>
      <c r="M95" s="520"/>
      <c r="N95" s="502"/>
      <c r="O95" s="502"/>
      <c r="P95" s="502"/>
      <c r="Q95" s="502"/>
    </row>
    <row r="96" spans="1:17" ht="12.75" customHeight="1">
      <c r="A96" s="1062"/>
      <c r="B96" s="1062"/>
      <c r="C96" s="1062"/>
      <c r="D96" s="1062"/>
      <c r="E96" s="1062"/>
      <c r="F96" s="1062"/>
      <c r="G96" s="1062"/>
      <c r="H96" s="1062"/>
      <c r="I96" s="474"/>
      <c r="J96" s="1298" t="s">
        <v>1428</v>
      </c>
      <c r="K96" s="1298"/>
      <c r="L96" s="1298"/>
      <c r="M96" s="520"/>
      <c r="N96" s="502"/>
      <c r="O96" s="502"/>
      <c r="P96" s="502"/>
      <c r="Q96" s="502"/>
    </row>
    <row r="97" spans="1:17" s="683" customFormat="1" ht="49.5" customHeight="1">
      <c r="A97" s="1063" t="s">
        <v>65</v>
      </c>
      <c r="B97" s="1064"/>
      <c r="C97" s="1064"/>
      <c r="D97" s="1064"/>
      <c r="E97" s="1064"/>
      <c r="F97" s="1064"/>
      <c r="G97" s="1064"/>
      <c r="H97" s="1064"/>
      <c r="I97" s="1064"/>
      <c r="J97" s="1064"/>
      <c r="K97" s="1064"/>
      <c r="L97" s="1064"/>
      <c r="M97" s="1065"/>
      <c r="N97" s="682"/>
      <c r="O97" s="682"/>
      <c r="P97" s="682"/>
      <c r="Q97" s="682"/>
    </row>
    <row r="98" spans="1:17" ht="34.5" customHeight="1">
      <c r="A98" s="1307"/>
      <c r="B98" s="1307"/>
      <c r="C98" s="1307"/>
      <c r="D98" s="1307"/>
      <c r="E98" s="1307"/>
      <c r="F98" s="1307"/>
      <c r="G98" s="1307"/>
      <c r="H98" s="1307"/>
      <c r="I98" s="1307"/>
      <c r="J98" s="1307"/>
      <c r="K98" s="1307"/>
      <c r="L98" s="1307"/>
      <c r="M98" s="520"/>
      <c r="N98" s="502"/>
      <c r="O98" s="502"/>
      <c r="P98" s="502"/>
      <c r="Q98" s="502"/>
    </row>
    <row r="99" spans="1:17" ht="33.75" customHeight="1">
      <c r="A99" s="1307"/>
      <c r="B99" s="1307"/>
      <c r="C99" s="1307"/>
      <c r="D99" s="1307"/>
      <c r="E99" s="1307"/>
      <c r="F99" s="1307"/>
      <c r="G99" s="1307"/>
      <c r="H99" s="1307"/>
      <c r="I99" s="1307"/>
      <c r="J99" s="1307"/>
      <c r="K99" s="1307"/>
      <c r="L99" s="1307"/>
      <c r="M99" s="520"/>
      <c r="N99" s="502"/>
      <c r="O99" s="502"/>
      <c r="P99" s="502"/>
      <c r="Q99" s="502"/>
    </row>
    <row r="100" spans="1:17">
      <c r="A100" s="519"/>
      <c r="B100" s="520"/>
      <c r="C100" s="520"/>
      <c r="D100" s="520"/>
      <c r="E100" s="520"/>
      <c r="F100" s="520"/>
      <c r="G100" s="520"/>
      <c r="H100" s="520"/>
      <c r="I100" s="520"/>
      <c r="J100" s="520"/>
      <c r="K100" s="501"/>
      <c r="L100" s="501"/>
      <c r="M100" s="520"/>
      <c r="N100" s="502"/>
      <c r="O100" s="502"/>
      <c r="P100" s="502"/>
      <c r="Q100" s="502"/>
    </row>
    <row r="101" spans="1:17">
      <c r="A101" s="519"/>
      <c r="B101" s="520"/>
      <c r="C101" s="520"/>
      <c r="D101" s="520"/>
      <c r="E101" s="520"/>
      <c r="F101" s="520"/>
      <c r="G101" s="520"/>
      <c r="H101" s="520"/>
      <c r="I101" s="520"/>
      <c r="J101" s="520"/>
      <c r="K101" s="501"/>
      <c r="L101" s="501"/>
      <c r="M101" s="520"/>
      <c r="N101" s="502"/>
      <c r="O101" s="502"/>
      <c r="P101" s="502"/>
      <c r="Q101" s="502"/>
    </row>
    <row r="102" spans="1:17">
      <c r="A102" s="519"/>
      <c r="B102" s="520"/>
      <c r="C102" s="520"/>
      <c r="D102" s="520"/>
      <c r="E102" s="520"/>
      <c r="F102" s="520"/>
      <c r="G102" s="520"/>
      <c r="H102" s="520"/>
      <c r="I102" s="520"/>
      <c r="J102" s="520"/>
      <c r="K102" s="501"/>
      <c r="L102" s="501"/>
      <c r="M102" s="520"/>
      <c r="N102" s="502"/>
      <c r="O102" s="502"/>
      <c r="P102" s="502"/>
      <c r="Q102" s="502"/>
    </row>
    <row r="103" spans="1:17">
      <c r="A103" s="519"/>
      <c r="B103" s="520"/>
      <c r="C103" s="520"/>
      <c r="D103" s="520"/>
      <c r="E103" s="520"/>
      <c r="F103" s="520"/>
      <c r="G103" s="520"/>
      <c r="H103" s="520"/>
      <c r="I103" s="520"/>
      <c r="J103" s="520"/>
      <c r="K103" s="501"/>
      <c r="L103" s="501"/>
      <c r="M103" s="520"/>
      <c r="N103" s="502"/>
      <c r="O103" s="502"/>
      <c r="P103" s="502"/>
      <c r="Q103" s="502"/>
    </row>
    <row r="104" spans="1:17">
      <c r="A104" s="519"/>
      <c r="B104" s="520"/>
      <c r="C104" s="520"/>
      <c r="D104" s="520"/>
      <c r="E104" s="520"/>
      <c r="F104" s="520"/>
      <c r="G104" s="520"/>
      <c r="H104" s="520"/>
      <c r="I104" s="520"/>
      <c r="J104" s="520"/>
      <c r="K104" s="501"/>
      <c r="L104" s="501"/>
      <c r="M104" s="520"/>
      <c r="N104" s="502"/>
      <c r="O104" s="502"/>
      <c r="P104" s="502"/>
      <c r="Q104" s="502"/>
    </row>
    <row r="105" spans="1:17">
      <c r="A105" s="519"/>
      <c r="B105" s="520"/>
      <c r="C105" s="520"/>
      <c r="D105" s="520"/>
      <c r="E105" s="520"/>
      <c r="F105" s="520"/>
      <c r="G105" s="520"/>
      <c r="H105" s="520"/>
      <c r="I105" s="520"/>
      <c r="J105" s="520"/>
      <c r="K105" s="501"/>
      <c r="L105" s="501"/>
      <c r="M105" s="520"/>
      <c r="N105" s="502"/>
      <c r="O105" s="502"/>
      <c r="P105" s="502"/>
      <c r="Q105" s="502"/>
    </row>
    <row r="106" spans="1:17">
      <c r="A106" s="519"/>
      <c r="B106" s="520"/>
      <c r="C106" s="520"/>
      <c r="D106" s="520"/>
      <c r="E106" s="520"/>
      <c r="F106" s="520"/>
      <c r="G106" s="520"/>
      <c r="H106" s="520"/>
      <c r="I106" s="520"/>
      <c r="J106" s="520"/>
      <c r="K106" s="501"/>
      <c r="L106" s="501"/>
      <c r="M106" s="520"/>
      <c r="N106" s="502"/>
      <c r="O106" s="502"/>
      <c r="P106" s="502"/>
      <c r="Q106" s="502"/>
    </row>
    <row r="107" spans="1:17">
      <c r="A107" s="519"/>
      <c r="B107" s="520"/>
      <c r="C107" s="520"/>
      <c r="D107" s="520"/>
      <c r="E107" s="520"/>
      <c r="F107" s="520"/>
      <c r="G107" s="520"/>
      <c r="H107" s="520"/>
      <c r="I107" s="520"/>
      <c r="J107" s="520"/>
      <c r="K107" s="501"/>
      <c r="L107" s="501"/>
      <c r="M107" s="520"/>
      <c r="N107" s="502"/>
      <c r="O107" s="502"/>
      <c r="P107" s="502"/>
      <c r="Q107" s="502"/>
    </row>
    <row r="108" spans="1:17">
      <c r="A108" s="519"/>
      <c r="B108" s="520"/>
      <c r="C108" s="520"/>
      <c r="D108" s="520"/>
      <c r="E108" s="520"/>
      <c r="F108" s="520"/>
      <c r="G108" s="520"/>
      <c r="H108" s="520"/>
      <c r="I108" s="520"/>
      <c r="J108" s="520"/>
      <c r="K108" s="501"/>
      <c r="L108" s="501"/>
      <c r="M108" s="520"/>
      <c r="N108" s="502"/>
      <c r="O108" s="502"/>
      <c r="P108" s="502"/>
      <c r="Q108" s="502"/>
    </row>
    <row r="109" spans="1:17">
      <c r="A109" s="519"/>
      <c r="B109" s="520"/>
      <c r="C109" s="520"/>
      <c r="D109" s="520"/>
      <c r="E109" s="520"/>
      <c r="F109" s="520"/>
      <c r="G109" s="520"/>
      <c r="H109" s="520"/>
      <c r="I109" s="520"/>
      <c r="J109" s="520"/>
      <c r="K109" s="501"/>
      <c r="L109" s="501"/>
      <c r="M109" s="520"/>
      <c r="N109" s="502"/>
      <c r="O109" s="502"/>
      <c r="P109" s="502"/>
      <c r="Q109" s="502"/>
    </row>
    <row r="110" spans="1:17">
      <c r="A110" s="519"/>
      <c r="B110" s="520"/>
      <c r="C110" s="520"/>
      <c r="D110" s="520"/>
      <c r="E110" s="520"/>
      <c r="F110" s="520"/>
      <c r="G110" s="520"/>
      <c r="H110" s="520"/>
      <c r="I110" s="520"/>
      <c r="J110" s="520"/>
      <c r="K110" s="501"/>
      <c r="L110" s="501"/>
      <c r="M110" s="520"/>
      <c r="N110" s="502"/>
      <c r="O110" s="502"/>
      <c r="P110" s="502"/>
      <c r="Q110" s="502"/>
    </row>
    <row r="111" spans="1:17">
      <c r="A111" s="519"/>
      <c r="B111" s="520"/>
      <c r="C111" s="520"/>
      <c r="D111" s="520"/>
      <c r="E111" s="520"/>
      <c r="F111" s="520"/>
      <c r="G111" s="520"/>
      <c r="H111" s="520"/>
      <c r="I111" s="520"/>
      <c r="J111" s="520"/>
      <c r="K111" s="501"/>
      <c r="L111" s="501"/>
      <c r="M111" s="520"/>
      <c r="N111" s="502"/>
      <c r="O111" s="502"/>
      <c r="P111" s="502"/>
      <c r="Q111" s="502"/>
    </row>
    <row r="112" spans="1:17">
      <c r="A112" s="519"/>
      <c r="B112" s="520"/>
      <c r="C112" s="520"/>
      <c r="D112" s="520"/>
      <c r="E112" s="520"/>
      <c r="F112" s="520"/>
      <c r="G112" s="520"/>
      <c r="H112" s="520"/>
      <c r="I112" s="520"/>
      <c r="J112" s="520"/>
      <c r="K112" s="501"/>
      <c r="L112" s="501"/>
      <c r="M112" s="520"/>
      <c r="N112" s="502"/>
      <c r="O112" s="502"/>
      <c r="P112" s="502"/>
      <c r="Q112" s="502"/>
    </row>
    <row r="113" spans="1:17">
      <c r="A113" s="519"/>
      <c r="B113" s="520"/>
      <c r="C113" s="520"/>
      <c r="D113" s="520"/>
      <c r="E113" s="520"/>
      <c r="F113" s="520"/>
      <c r="G113" s="520"/>
      <c r="H113" s="520"/>
      <c r="I113" s="520"/>
      <c r="J113" s="520"/>
      <c r="K113" s="501"/>
      <c r="L113" s="501"/>
      <c r="M113" s="520"/>
      <c r="N113" s="502"/>
      <c r="O113" s="502"/>
      <c r="P113" s="502"/>
      <c r="Q113" s="502"/>
    </row>
    <row r="114" spans="1:17">
      <c r="A114" s="519"/>
      <c r="B114" s="520"/>
      <c r="C114" s="520"/>
      <c r="D114" s="520"/>
      <c r="E114" s="520"/>
      <c r="F114" s="520"/>
      <c r="G114" s="520"/>
      <c r="H114" s="520"/>
      <c r="I114" s="520"/>
      <c r="J114" s="520"/>
      <c r="K114" s="501"/>
      <c r="L114" s="501"/>
      <c r="M114" s="520"/>
      <c r="N114" s="502"/>
      <c r="O114" s="502"/>
      <c r="P114" s="502"/>
      <c r="Q114" s="502"/>
    </row>
    <row r="115" spans="1:17">
      <c r="A115" s="519"/>
      <c r="B115" s="520"/>
      <c r="C115" s="520"/>
      <c r="D115" s="520"/>
      <c r="E115" s="520"/>
      <c r="F115" s="520"/>
      <c r="G115" s="520"/>
      <c r="H115" s="520"/>
      <c r="I115" s="520"/>
      <c r="J115" s="520"/>
      <c r="K115" s="501"/>
      <c r="L115" s="501"/>
      <c r="M115" s="520"/>
      <c r="N115" s="502"/>
      <c r="O115" s="502"/>
      <c r="P115" s="502"/>
      <c r="Q115" s="502"/>
    </row>
    <row r="116" spans="1:17">
      <c r="A116" s="519"/>
      <c r="B116" s="520"/>
      <c r="C116" s="520"/>
      <c r="D116" s="520"/>
      <c r="E116" s="520"/>
      <c r="F116" s="520"/>
      <c r="G116" s="520"/>
      <c r="H116" s="520"/>
      <c r="I116" s="520"/>
      <c r="J116" s="520"/>
      <c r="K116" s="501"/>
      <c r="L116" s="501"/>
      <c r="M116" s="520"/>
      <c r="N116" s="502"/>
      <c r="O116" s="502"/>
      <c r="P116" s="502"/>
      <c r="Q116" s="502"/>
    </row>
    <row r="117" spans="1:17">
      <c r="A117" s="519"/>
      <c r="B117" s="520"/>
      <c r="C117" s="520"/>
      <c r="D117" s="520"/>
      <c r="E117" s="520"/>
      <c r="F117" s="520"/>
      <c r="G117" s="520"/>
      <c r="H117" s="520"/>
      <c r="I117" s="520"/>
      <c r="J117" s="520"/>
      <c r="K117" s="501"/>
      <c r="L117" s="501"/>
      <c r="M117" s="520"/>
      <c r="N117" s="502"/>
      <c r="O117" s="502"/>
      <c r="P117" s="502"/>
      <c r="Q117" s="502"/>
    </row>
    <row r="118" spans="1:17">
      <c r="A118" s="519"/>
      <c r="B118" s="520"/>
      <c r="C118" s="520"/>
      <c r="D118" s="520"/>
      <c r="E118" s="520"/>
      <c r="F118" s="520"/>
      <c r="G118" s="520"/>
      <c r="H118" s="520"/>
      <c r="I118" s="520"/>
      <c r="J118" s="520"/>
      <c r="K118" s="501"/>
      <c r="L118" s="501"/>
      <c r="M118" s="520"/>
      <c r="N118" s="502"/>
      <c r="O118" s="502"/>
      <c r="P118" s="502"/>
      <c r="Q118" s="502"/>
    </row>
    <row r="119" spans="1:17">
      <c r="A119" s="519"/>
      <c r="B119" s="520"/>
      <c r="C119" s="520"/>
      <c r="D119" s="520"/>
      <c r="E119" s="520"/>
      <c r="F119" s="520"/>
      <c r="G119" s="520"/>
      <c r="H119" s="520"/>
      <c r="I119" s="520"/>
      <c r="J119" s="520"/>
      <c r="K119" s="501"/>
      <c r="L119" s="501"/>
      <c r="M119" s="520"/>
      <c r="N119" s="502"/>
      <c r="O119" s="502"/>
      <c r="P119" s="502"/>
      <c r="Q119" s="502"/>
    </row>
    <row r="120" spans="1:17">
      <c r="A120" s="524"/>
      <c r="B120" s="525"/>
      <c r="C120" s="525"/>
      <c r="D120" s="525"/>
      <c r="E120" s="525"/>
      <c r="F120" s="525"/>
      <c r="G120" s="525"/>
      <c r="H120" s="525"/>
      <c r="I120" s="525"/>
      <c r="J120" s="525"/>
      <c r="K120" s="502"/>
      <c r="L120" s="502"/>
      <c r="M120" s="525"/>
      <c r="N120" s="502"/>
      <c r="O120" s="502"/>
      <c r="P120" s="502"/>
      <c r="Q120" s="502"/>
    </row>
  </sheetData>
  <mergeCells count="13">
    <mergeCell ref="A92:C92"/>
    <mergeCell ref="J92:L92"/>
    <mergeCell ref="A98:L98"/>
    <mergeCell ref="A99:L99"/>
    <mergeCell ref="K1:L1"/>
    <mergeCell ref="A3:L3"/>
    <mergeCell ref="J90:L90"/>
    <mergeCell ref="J91:L91"/>
    <mergeCell ref="A1:C1"/>
    <mergeCell ref="J93:L93"/>
    <mergeCell ref="I94:L94"/>
    <mergeCell ref="J96:L96"/>
    <mergeCell ref="A2:C2"/>
  </mergeCells>
  <pageMargins left="0" right="0" top="0" bottom="0" header="0" footer="0"/>
  <pageSetup paperSize="9" scale="85"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S74"/>
  <sheetViews>
    <sheetView topLeftCell="A10" zoomScale="81" workbookViewId="0">
      <selection activeCell="N21" sqref="N21"/>
    </sheetView>
  </sheetViews>
  <sheetFormatPr defaultColWidth="8.9140625" defaultRowHeight="15.5"/>
  <cols>
    <col min="1" max="1" width="4.4140625" style="164" customWidth="1"/>
    <col min="2" max="2" width="40.08203125" style="149" bestFit="1" customWidth="1"/>
    <col min="3" max="3" width="21.08203125" style="147" customWidth="1"/>
    <col min="4" max="4" width="19.08203125" style="147" customWidth="1"/>
    <col min="5" max="5" width="17.4140625" style="147" customWidth="1"/>
    <col min="6" max="6" width="18.08203125" style="147" customWidth="1"/>
    <col min="7" max="7" width="16.4140625" style="149" customWidth="1"/>
    <col min="8" max="8" width="12.4140625" style="149" bestFit="1" customWidth="1"/>
    <col min="9" max="9" width="9" style="149"/>
    <col min="10" max="10" width="41.4140625" style="149" bestFit="1" customWidth="1"/>
    <col min="11" max="11" width="15.08203125" style="149" customWidth="1"/>
    <col min="12" max="12" width="15.4140625" style="149" bestFit="1" customWidth="1"/>
    <col min="13" max="13" width="15.08203125" style="149" bestFit="1" customWidth="1"/>
    <col min="14" max="14" width="16.08203125" style="149" customWidth="1"/>
    <col min="15" max="256" width="9" style="149"/>
    <col min="257" max="257" width="4.4140625" style="149" customWidth="1"/>
    <col min="258" max="258" width="40.08203125" style="149" bestFit="1" customWidth="1"/>
    <col min="259" max="259" width="21.08203125" style="149" customWidth="1"/>
    <col min="260" max="260" width="19.08203125" style="149" customWidth="1"/>
    <col min="261" max="261" width="15.08203125" style="149" customWidth="1"/>
    <col min="262" max="262" width="14.4140625" style="149" bestFit="1" customWidth="1"/>
    <col min="263" max="263" width="16.4140625" style="149" customWidth="1"/>
    <col min="264" max="512" width="9" style="149"/>
    <col min="513" max="513" width="4.4140625" style="149" customWidth="1"/>
    <col min="514" max="514" width="40.08203125" style="149" bestFit="1" customWidth="1"/>
    <col min="515" max="515" width="21.08203125" style="149" customWidth="1"/>
    <col min="516" max="516" width="19.08203125" style="149" customWidth="1"/>
    <col min="517" max="517" width="15.08203125" style="149" customWidth="1"/>
    <col min="518" max="518" width="14.4140625" style="149" bestFit="1" customWidth="1"/>
    <col min="519" max="519" width="16.4140625" style="149" customWidth="1"/>
    <col min="520" max="768" width="9" style="149"/>
    <col min="769" max="769" width="4.4140625" style="149" customWidth="1"/>
    <col min="770" max="770" width="40.08203125" style="149" bestFit="1" customWidth="1"/>
    <col min="771" max="771" width="21.08203125" style="149" customWidth="1"/>
    <col min="772" max="772" width="19.08203125" style="149" customWidth="1"/>
    <col min="773" max="773" width="15.08203125" style="149" customWidth="1"/>
    <col min="774" max="774" width="14.4140625" style="149" bestFit="1" customWidth="1"/>
    <col min="775" max="775" width="16.4140625" style="149" customWidth="1"/>
    <col min="776" max="1024" width="9" style="149"/>
    <col min="1025" max="1025" width="4.4140625" style="149" customWidth="1"/>
    <col min="1026" max="1026" width="40.08203125" style="149" bestFit="1" customWidth="1"/>
    <col min="1027" max="1027" width="21.08203125" style="149" customWidth="1"/>
    <col min="1028" max="1028" width="19.08203125" style="149" customWidth="1"/>
    <col min="1029" max="1029" width="15.08203125" style="149" customWidth="1"/>
    <col min="1030" max="1030" width="14.4140625" style="149" bestFit="1" customWidth="1"/>
    <col min="1031" max="1031" width="16.4140625" style="149" customWidth="1"/>
    <col min="1032" max="1280" width="9" style="149"/>
    <col min="1281" max="1281" width="4.4140625" style="149" customWidth="1"/>
    <col min="1282" max="1282" width="40.08203125" style="149" bestFit="1" customWidth="1"/>
    <col min="1283" max="1283" width="21.08203125" style="149" customWidth="1"/>
    <col min="1284" max="1284" width="19.08203125" style="149" customWidth="1"/>
    <col min="1285" max="1285" width="15.08203125" style="149" customWidth="1"/>
    <col min="1286" max="1286" width="14.4140625" style="149" bestFit="1" customWidth="1"/>
    <col min="1287" max="1287" width="16.4140625" style="149" customWidth="1"/>
    <col min="1288" max="1536" width="9" style="149"/>
    <col min="1537" max="1537" width="4.4140625" style="149" customWidth="1"/>
    <col min="1538" max="1538" width="40.08203125" style="149" bestFit="1" customWidth="1"/>
    <col min="1539" max="1539" width="21.08203125" style="149" customWidth="1"/>
    <col min="1540" max="1540" width="19.08203125" style="149" customWidth="1"/>
    <col min="1541" max="1541" width="15.08203125" style="149" customWidth="1"/>
    <col min="1542" max="1542" width="14.4140625" style="149" bestFit="1" customWidth="1"/>
    <col min="1543" max="1543" width="16.4140625" style="149" customWidth="1"/>
    <col min="1544" max="1792" width="9" style="149"/>
    <col min="1793" max="1793" width="4.4140625" style="149" customWidth="1"/>
    <col min="1794" max="1794" width="40.08203125" style="149" bestFit="1" customWidth="1"/>
    <col min="1795" max="1795" width="21.08203125" style="149" customWidth="1"/>
    <col min="1796" max="1796" width="19.08203125" style="149" customWidth="1"/>
    <col min="1797" max="1797" width="15.08203125" style="149" customWidth="1"/>
    <col min="1798" max="1798" width="14.4140625" style="149" bestFit="1" customWidth="1"/>
    <col min="1799" max="1799" width="16.4140625" style="149" customWidth="1"/>
    <col min="1800" max="2048" width="9" style="149"/>
    <col min="2049" max="2049" width="4.4140625" style="149" customWidth="1"/>
    <col min="2050" max="2050" width="40.08203125" style="149" bestFit="1" customWidth="1"/>
    <col min="2051" max="2051" width="21.08203125" style="149" customWidth="1"/>
    <col min="2052" max="2052" width="19.08203125" style="149" customWidth="1"/>
    <col min="2053" max="2053" width="15.08203125" style="149" customWidth="1"/>
    <col min="2054" max="2054" width="14.4140625" style="149" bestFit="1" customWidth="1"/>
    <col min="2055" max="2055" width="16.4140625" style="149" customWidth="1"/>
    <col min="2056" max="2304" width="9" style="149"/>
    <col min="2305" max="2305" width="4.4140625" style="149" customWidth="1"/>
    <col min="2306" max="2306" width="40.08203125" style="149" bestFit="1" customWidth="1"/>
    <col min="2307" max="2307" width="21.08203125" style="149" customWidth="1"/>
    <col min="2308" max="2308" width="19.08203125" style="149" customWidth="1"/>
    <col min="2309" max="2309" width="15.08203125" style="149" customWidth="1"/>
    <col min="2310" max="2310" width="14.4140625" style="149" bestFit="1" customWidth="1"/>
    <col min="2311" max="2311" width="16.4140625" style="149" customWidth="1"/>
    <col min="2312" max="2560" width="9" style="149"/>
    <col min="2561" max="2561" width="4.4140625" style="149" customWidth="1"/>
    <col min="2562" max="2562" width="40.08203125" style="149" bestFit="1" customWidth="1"/>
    <col min="2563" max="2563" width="21.08203125" style="149" customWidth="1"/>
    <col min="2564" max="2564" width="19.08203125" style="149" customWidth="1"/>
    <col min="2565" max="2565" width="15.08203125" style="149" customWidth="1"/>
    <col min="2566" max="2566" width="14.4140625" style="149" bestFit="1" customWidth="1"/>
    <col min="2567" max="2567" width="16.4140625" style="149" customWidth="1"/>
    <col min="2568" max="2816" width="9" style="149"/>
    <col min="2817" max="2817" width="4.4140625" style="149" customWidth="1"/>
    <col min="2818" max="2818" width="40.08203125" style="149" bestFit="1" customWidth="1"/>
    <col min="2819" max="2819" width="21.08203125" style="149" customWidth="1"/>
    <col min="2820" max="2820" width="19.08203125" style="149" customWidth="1"/>
    <col min="2821" max="2821" width="15.08203125" style="149" customWidth="1"/>
    <col min="2822" max="2822" width="14.4140625" style="149" bestFit="1" customWidth="1"/>
    <col min="2823" max="2823" width="16.4140625" style="149" customWidth="1"/>
    <col min="2824" max="3072" width="9" style="149"/>
    <col min="3073" max="3073" width="4.4140625" style="149" customWidth="1"/>
    <col min="3074" max="3074" width="40.08203125" style="149" bestFit="1" customWidth="1"/>
    <col min="3075" max="3075" width="21.08203125" style="149" customWidth="1"/>
    <col min="3076" max="3076" width="19.08203125" style="149" customWidth="1"/>
    <col min="3077" max="3077" width="15.08203125" style="149" customWidth="1"/>
    <col min="3078" max="3078" width="14.4140625" style="149" bestFit="1" customWidth="1"/>
    <col min="3079" max="3079" width="16.4140625" style="149" customWidth="1"/>
    <col min="3080" max="3328" width="9" style="149"/>
    <col min="3329" max="3329" width="4.4140625" style="149" customWidth="1"/>
    <col min="3330" max="3330" width="40.08203125" style="149" bestFit="1" customWidth="1"/>
    <col min="3331" max="3331" width="21.08203125" style="149" customWidth="1"/>
    <col min="3332" max="3332" width="19.08203125" style="149" customWidth="1"/>
    <col min="3333" max="3333" width="15.08203125" style="149" customWidth="1"/>
    <col min="3334" max="3334" width="14.4140625" style="149" bestFit="1" customWidth="1"/>
    <col min="3335" max="3335" width="16.4140625" style="149" customWidth="1"/>
    <col min="3336" max="3584" width="9" style="149"/>
    <col min="3585" max="3585" width="4.4140625" style="149" customWidth="1"/>
    <col min="3586" max="3586" width="40.08203125" style="149" bestFit="1" customWidth="1"/>
    <col min="3587" max="3587" width="21.08203125" style="149" customWidth="1"/>
    <col min="3588" max="3588" width="19.08203125" style="149" customWidth="1"/>
    <col min="3589" max="3589" width="15.08203125" style="149" customWidth="1"/>
    <col min="3590" max="3590" width="14.4140625" style="149" bestFit="1" customWidth="1"/>
    <col min="3591" max="3591" width="16.4140625" style="149" customWidth="1"/>
    <col min="3592" max="3840" width="9" style="149"/>
    <col min="3841" max="3841" width="4.4140625" style="149" customWidth="1"/>
    <col min="3842" max="3842" width="40.08203125" style="149" bestFit="1" customWidth="1"/>
    <col min="3843" max="3843" width="21.08203125" style="149" customWidth="1"/>
    <col min="3844" max="3844" width="19.08203125" style="149" customWidth="1"/>
    <col min="3845" max="3845" width="15.08203125" style="149" customWidth="1"/>
    <col min="3846" max="3846" width="14.4140625" style="149" bestFit="1" customWidth="1"/>
    <col min="3847" max="3847" width="16.4140625" style="149" customWidth="1"/>
    <col min="3848" max="4096" width="9" style="149"/>
    <col min="4097" max="4097" width="4.4140625" style="149" customWidth="1"/>
    <col min="4098" max="4098" width="40.08203125" style="149" bestFit="1" customWidth="1"/>
    <col min="4099" max="4099" width="21.08203125" style="149" customWidth="1"/>
    <col min="4100" max="4100" width="19.08203125" style="149" customWidth="1"/>
    <col min="4101" max="4101" width="15.08203125" style="149" customWidth="1"/>
    <col min="4102" max="4102" width="14.4140625" style="149" bestFit="1" customWidth="1"/>
    <col min="4103" max="4103" width="16.4140625" style="149" customWidth="1"/>
    <col min="4104" max="4352" width="9" style="149"/>
    <col min="4353" max="4353" width="4.4140625" style="149" customWidth="1"/>
    <col min="4354" max="4354" width="40.08203125" style="149" bestFit="1" customWidth="1"/>
    <col min="4355" max="4355" width="21.08203125" style="149" customWidth="1"/>
    <col min="4356" max="4356" width="19.08203125" style="149" customWidth="1"/>
    <col min="4357" max="4357" width="15.08203125" style="149" customWidth="1"/>
    <col min="4358" max="4358" width="14.4140625" style="149" bestFit="1" customWidth="1"/>
    <col min="4359" max="4359" width="16.4140625" style="149" customWidth="1"/>
    <col min="4360" max="4608" width="9" style="149"/>
    <col min="4609" max="4609" width="4.4140625" style="149" customWidth="1"/>
    <col min="4610" max="4610" width="40.08203125" style="149" bestFit="1" customWidth="1"/>
    <col min="4611" max="4611" width="21.08203125" style="149" customWidth="1"/>
    <col min="4612" max="4612" width="19.08203125" style="149" customWidth="1"/>
    <col min="4613" max="4613" width="15.08203125" style="149" customWidth="1"/>
    <col min="4614" max="4614" width="14.4140625" style="149" bestFit="1" customWidth="1"/>
    <col min="4615" max="4615" width="16.4140625" style="149" customWidth="1"/>
    <col min="4616" max="4864" width="9" style="149"/>
    <col min="4865" max="4865" width="4.4140625" style="149" customWidth="1"/>
    <col min="4866" max="4866" width="40.08203125" style="149" bestFit="1" customWidth="1"/>
    <col min="4867" max="4867" width="21.08203125" style="149" customWidth="1"/>
    <col min="4868" max="4868" width="19.08203125" style="149" customWidth="1"/>
    <col min="4869" max="4869" width="15.08203125" style="149" customWidth="1"/>
    <col min="4870" max="4870" width="14.4140625" style="149" bestFit="1" customWidth="1"/>
    <col min="4871" max="4871" width="16.4140625" style="149" customWidth="1"/>
    <col min="4872" max="5120" width="9" style="149"/>
    <col min="5121" max="5121" width="4.4140625" style="149" customWidth="1"/>
    <col min="5122" max="5122" width="40.08203125" style="149" bestFit="1" customWidth="1"/>
    <col min="5123" max="5123" width="21.08203125" style="149" customWidth="1"/>
    <col min="5124" max="5124" width="19.08203125" style="149" customWidth="1"/>
    <col min="5125" max="5125" width="15.08203125" style="149" customWidth="1"/>
    <col min="5126" max="5126" width="14.4140625" style="149" bestFit="1" customWidth="1"/>
    <col min="5127" max="5127" width="16.4140625" style="149" customWidth="1"/>
    <col min="5128" max="5376" width="9" style="149"/>
    <col min="5377" max="5377" width="4.4140625" style="149" customWidth="1"/>
    <col min="5378" max="5378" width="40.08203125" style="149" bestFit="1" customWidth="1"/>
    <col min="5379" max="5379" width="21.08203125" style="149" customWidth="1"/>
    <col min="5380" max="5380" width="19.08203125" style="149" customWidth="1"/>
    <col min="5381" max="5381" width="15.08203125" style="149" customWidth="1"/>
    <col min="5382" max="5382" width="14.4140625" style="149" bestFit="1" customWidth="1"/>
    <col min="5383" max="5383" width="16.4140625" style="149" customWidth="1"/>
    <col min="5384" max="5632" width="9" style="149"/>
    <col min="5633" max="5633" width="4.4140625" style="149" customWidth="1"/>
    <col min="5634" max="5634" width="40.08203125" style="149" bestFit="1" customWidth="1"/>
    <col min="5635" max="5635" width="21.08203125" style="149" customWidth="1"/>
    <col min="5636" max="5636" width="19.08203125" style="149" customWidth="1"/>
    <col min="5637" max="5637" width="15.08203125" style="149" customWidth="1"/>
    <col min="5638" max="5638" width="14.4140625" style="149" bestFit="1" customWidth="1"/>
    <col min="5639" max="5639" width="16.4140625" style="149" customWidth="1"/>
    <col min="5640" max="5888" width="9" style="149"/>
    <col min="5889" max="5889" width="4.4140625" style="149" customWidth="1"/>
    <col min="5890" max="5890" width="40.08203125" style="149" bestFit="1" customWidth="1"/>
    <col min="5891" max="5891" width="21.08203125" style="149" customWidth="1"/>
    <col min="5892" max="5892" width="19.08203125" style="149" customWidth="1"/>
    <col min="5893" max="5893" width="15.08203125" style="149" customWidth="1"/>
    <col min="5894" max="5894" width="14.4140625" style="149" bestFit="1" customWidth="1"/>
    <col min="5895" max="5895" width="16.4140625" style="149" customWidth="1"/>
    <col min="5896" max="6144" width="9" style="149"/>
    <col min="6145" max="6145" width="4.4140625" style="149" customWidth="1"/>
    <col min="6146" max="6146" width="40.08203125" style="149" bestFit="1" customWidth="1"/>
    <col min="6147" max="6147" width="21.08203125" style="149" customWidth="1"/>
    <col min="6148" max="6148" width="19.08203125" style="149" customWidth="1"/>
    <col min="6149" max="6149" width="15.08203125" style="149" customWidth="1"/>
    <col min="6150" max="6150" width="14.4140625" style="149" bestFit="1" customWidth="1"/>
    <col min="6151" max="6151" width="16.4140625" style="149" customWidth="1"/>
    <col min="6152" max="6400" width="9" style="149"/>
    <col min="6401" max="6401" width="4.4140625" style="149" customWidth="1"/>
    <col min="6402" max="6402" width="40.08203125" style="149" bestFit="1" customWidth="1"/>
    <col min="6403" max="6403" width="21.08203125" style="149" customWidth="1"/>
    <col min="6404" max="6404" width="19.08203125" style="149" customWidth="1"/>
    <col min="6405" max="6405" width="15.08203125" style="149" customWidth="1"/>
    <col min="6406" max="6406" width="14.4140625" style="149" bestFit="1" customWidth="1"/>
    <col min="6407" max="6407" width="16.4140625" style="149" customWidth="1"/>
    <col min="6408" max="6656" width="9" style="149"/>
    <col min="6657" max="6657" width="4.4140625" style="149" customWidth="1"/>
    <col min="6658" max="6658" width="40.08203125" style="149" bestFit="1" customWidth="1"/>
    <col min="6659" max="6659" width="21.08203125" style="149" customWidth="1"/>
    <col min="6660" max="6660" width="19.08203125" style="149" customWidth="1"/>
    <col min="6661" max="6661" width="15.08203125" style="149" customWidth="1"/>
    <col min="6662" max="6662" width="14.4140625" style="149" bestFit="1" customWidth="1"/>
    <col min="6663" max="6663" width="16.4140625" style="149" customWidth="1"/>
    <col min="6664" max="6912" width="9" style="149"/>
    <col min="6913" max="6913" width="4.4140625" style="149" customWidth="1"/>
    <col min="6914" max="6914" width="40.08203125" style="149" bestFit="1" customWidth="1"/>
    <col min="6915" max="6915" width="21.08203125" style="149" customWidth="1"/>
    <col min="6916" max="6916" width="19.08203125" style="149" customWidth="1"/>
    <col min="6917" max="6917" width="15.08203125" style="149" customWidth="1"/>
    <col min="6918" max="6918" width="14.4140625" style="149" bestFit="1" customWidth="1"/>
    <col min="6919" max="6919" width="16.4140625" style="149" customWidth="1"/>
    <col min="6920" max="7168" width="9" style="149"/>
    <col min="7169" max="7169" width="4.4140625" style="149" customWidth="1"/>
    <col min="7170" max="7170" width="40.08203125" style="149" bestFit="1" customWidth="1"/>
    <col min="7171" max="7171" width="21.08203125" style="149" customWidth="1"/>
    <col min="7172" max="7172" width="19.08203125" style="149" customWidth="1"/>
    <col min="7173" max="7173" width="15.08203125" style="149" customWidth="1"/>
    <col min="7174" max="7174" width="14.4140625" style="149" bestFit="1" customWidth="1"/>
    <col min="7175" max="7175" width="16.4140625" style="149" customWidth="1"/>
    <col min="7176" max="7424" width="9" style="149"/>
    <col min="7425" max="7425" width="4.4140625" style="149" customWidth="1"/>
    <col min="7426" max="7426" width="40.08203125" style="149" bestFit="1" customWidth="1"/>
    <col min="7427" max="7427" width="21.08203125" style="149" customWidth="1"/>
    <col min="7428" max="7428" width="19.08203125" style="149" customWidth="1"/>
    <col min="7429" max="7429" width="15.08203125" style="149" customWidth="1"/>
    <col min="7430" max="7430" width="14.4140625" style="149" bestFit="1" customWidth="1"/>
    <col min="7431" max="7431" width="16.4140625" style="149" customWidth="1"/>
    <col min="7432" max="7680" width="9" style="149"/>
    <col min="7681" max="7681" width="4.4140625" style="149" customWidth="1"/>
    <col min="7682" max="7682" width="40.08203125" style="149" bestFit="1" customWidth="1"/>
    <col min="7683" max="7683" width="21.08203125" style="149" customWidth="1"/>
    <col min="7684" max="7684" width="19.08203125" style="149" customWidth="1"/>
    <col min="7685" max="7685" width="15.08203125" style="149" customWidth="1"/>
    <col min="7686" max="7686" width="14.4140625" style="149" bestFit="1" customWidth="1"/>
    <col min="7687" max="7687" width="16.4140625" style="149" customWidth="1"/>
    <col min="7688" max="7936" width="9" style="149"/>
    <col min="7937" max="7937" width="4.4140625" style="149" customWidth="1"/>
    <col min="7938" max="7938" width="40.08203125" style="149" bestFit="1" customWidth="1"/>
    <col min="7939" max="7939" width="21.08203125" style="149" customWidth="1"/>
    <col min="7940" max="7940" width="19.08203125" style="149" customWidth="1"/>
    <col min="7941" max="7941" width="15.08203125" style="149" customWidth="1"/>
    <col min="7942" max="7942" width="14.4140625" style="149" bestFit="1" customWidth="1"/>
    <col min="7943" max="7943" width="16.4140625" style="149" customWidth="1"/>
    <col min="7944" max="8192" width="9" style="149"/>
    <col min="8193" max="8193" width="4.4140625" style="149" customWidth="1"/>
    <col min="8194" max="8194" width="40.08203125" style="149" bestFit="1" customWidth="1"/>
    <col min="8195" max="8195" width="21.08203125" style="149" customWidth="1"/>
    <col min="8196" max="8196" width="19.08203125" style="149" customWidth="1"/>
    <col min="8197" max="8197" width="15.08203125" style="149" customWidth="1"/>
    <col min="8198" max="8198" width="14.4140625" style="149" bestFit="1" customWidth="1"/>
    <col min="8199" max="8199" width="16.4140625" style="149" customWidth="1"/>
    <col min="8200" max="8448" width="9" style="149"/>
    <col min="8449" max="8449" width="4.4140625" style="149" customWidth="1"/>
    <col min="8450" max="8450" width="40.08203125" style="149" bestFit="1" customWidth="1"/>
    <col min="8451" max="8451" width="21.08203125" style="149" customWidth="1"/>
    <col min="8452" max="8452" width="19.08203125" style="149" customWidth="1"/>
    <col min="8453" max="8453" width="15.08203125" style="149" customWidth="1"/>
    <col min="8454" max="8454" width="14.4140625" style="149" bestFit="1" customWidth="1"/>
    <col min="8455" max="8455" width="16.4140625" style="149" customWidth="1"/>
    <col min="8456" max="8704" width="9" style="149"/>
    <col min="8705" max="8705" width="4.4140625" style="149" customWidth="1"/>
    <col min="8706" max="8706" width="40.08203125" style="149" bestFit="1" customWidth="1"/>
    <col min="8707" max="8707" width="21.08203125" style="149" customWidth="1"/>
    <col min="8708" max="8708" width="19.08203125" style="149" customWidth="1"/>
    <col min="8709" max="8709" width="15.08203125" style="149" customWidth="1"/>
    <col min="8710" max="8710" width="14.4140625" style="149" bestFit="1" customWidth="1"/>
    <col min="8711" max="8711" width="16.4140625" style="149" customWidth="1"/>
    <col min="8712" max="8960" width="9" style="149"/>
    <col min="8961" max="8961" width="4.4140625" style="149" customWidth="1"/>
    <col min="8962" max="8962" width="40.08203125" style="149" bestFit="1" customWidth="1"/>
    <col min="8963" max="8963" width="21.08203125" style="149" customWidth="1"/>
    <col min="8964" max="8964" width="19.08203125" style="149" customWidth="1"/>
    <col min="8965" max="8965" width="15.08203125" style="149" customWidth="1"/>
    <col min="8966" max="8966" width="14.4140625" style="149" bestFit="1" customWidth="1"/>
    <col min="8967" max="8967" width="16.4140625" style="149" customWidth="1"/>
    <col min="8968" max="9216" width="9" style="149"/>
    <col min="9217" max="9217" width="4.4140625" style="149" customWidth="1"/>
    <col min="9218" max="9218" width="40.08203125" style="149" bestFit="1" customWidth="1"/>
    <col min="9219" max="9219" width="21.08203125" style="149" customWidth="1"/>
    <col min="9220" max="9220" width="19.08203125" style="149" customWidth="1"/>
    <col min="9221" max="9221" width="15.08203125" style="149" customWidth="1"/>
    <col min="9222" max="9222" width="14.4140625" style="149" bestFit="1" customWidth="1"/>
    <col min="9223" max="9223" width="16.4140625" style="149" customWidth="1"/>
    <col min="9224" max="9472" width="9" style="149"/>
    <col min="9473" max="9473" width="4.4140625" style="149" customWidth="1"/>
    <col min="9474" max="9474" width="40.08203125" style="149" bestFit="1" customWidth="1"/>
    <col min="9475" max="9475" width="21.08203125" style="149" customWidth="1"/>
    <col min="9476" max="9476" width="19.08203125" style="149" customWidth="1"/>
    <col min="9477" max="9477" width="15.08203125" style="149" customWidth="1"/>
    <col min="9478" max="9478" width="14.4140625" style="149" bestFit="1" customWidth="1"/>
    <col min="9479" max="9479" width="16.4140625" style="149" customWidth="1"/>
    <col min="9480" max="9728" width="9" style="149"/>
    <col min="9729" max="9729" width="4.4140625" style="149" customWidth="1"/>
    <col min="9730" max="9730" width="40.08203125" style="149" bestFit="1" customWidth="1"/>
    <col min="9731" max="9731" width="21.08203125" style="149" customWidth="1"/>
    <col min="9732" max="9732" width="19.08203125" style="149" customWidth="1"/>
    <col min="9733" max="9733" width="15.08203125" style="149" customWidth="1"/>
    <col min="9734" max="9734" width="14.4140625" style="149" bestFit="1" customWidth="1"/>
    <col min="9735" max="9735" width="16.4140625" style="149" customWidth="1"/>
    <col min="9736" max="9984" width="9" style="149"/>
    <col min="9985" max="9985" width="4.4140625" style="149" customWidth="1"/>
    <col min="9986" max="9986" width="40.08203125" style="149" bestFit="1" customWidth="1"/>
    <col min="9987" max="9987" width="21.08203125" style="149" customWidth="1"/>
    <col min="9988" max="9988" width="19.08203125" style="149" customWidth="1"/>
    <col min="9989" max="9989" width="15.08203125" style="149" customWidth="1"/>
    <col min="9990" max="9990" width="14.4140625" style="149" bestFit="1" customWidth="1"/>
    <col min="9991" max="9991" width="16.4140625" style="149" customWidth="1"/>
    <col min="9992" max="10240" width="9" style="149"/>
    <col min="10241" max="10241" width="4.4140625" style="149" customWidth="1"/>
    <col min="10242" max="10242" width="40.08203125" style="149" bestFit="1" customWidth="1"/>
    <col min="10243" max="10243" width="21.08203125" style="149" customWidth="1"/>
    <col min="10244" max="10244" width="19.08203125" style="149" customWidth="1"/>
    <col min="10245" max="10245" width="15.08203125" style="149" customWidth="1"/>
    <col min="10246" max="10246" width="14.4140625" style="149" bestFit="1" customWidth="1"/>
    <col min="10247" max="10247" width="16.4140625" style="149" customWidth="1"/>
    <col min="10248" max="10496" width="9" style="149"/>
    <col min="10497" max="10497" width="4.4140625" style="149" customWidth="1"/>
    <col min="10498" max="10498" width="40.08203125" style="149" bestFit="1" customWidth="1"/>
    <col min="10499" max="10499" width="21.08203125" style="149" customWidth="1"/>
    <col min="10500" max="10500" width="19.08203125" style="149" customWidth="1"/>
    <col min="10501" max="10501" width="15.08203125" style="149" customWidth="1"/>
    <col min="10502" max="10502" width="14.4140625" style="149" bestFit="1" customWidth="1"/>
    <col min="10503" max="10503" width="16.4140625" style="149" customWidth="1"/>
    <col min="10504" max="10752" width="9" style="149"/>
    <col min="10753" max="10753" width="4.4140625" style="149" customWidth="1"/>
    <col min="10754" max="10754" width="40.08203125" style="149" bestFit="1" customWidth="1"/>
    <col min="10755" max="10755" width="21.08203125" style="149" customWidth="1"/>
    <col min="10756" max="10756" width="19.08203125" style="149" customWidth="1"/>
    <col min="10757" max="10757" width="15.08203125" style="149" customWidth="1"/>
    <col min="10758" max="10758" width="14.4140625" style="149" bestFit="1" customWidth="1"/>
    <col min="10759" max="10759" width="16.4140625" style="149" customWidth="1"/>
    <col min="10760" max="11008" width="9" style="149"/>
    <col min="11009" max="11009" width="4.4140625" style="149" customWidth="1"/>
    <col min="11010" max="11010" width="40.08203125" style="149" bestFit="1" customWidth="1"/>
    <col min="11011" max="11011" width="21.08203125" style="149" customWidth="1"/>
    <col min="11012" max="11012" width="19.08203125" style="149" customWidth="1"/>
    <col min="11013" max="11013" width="15.08203125" style="149" customWidth="1"/>
    <col min="11014" max="11014" width="14.4140625" style="149" bestFit="1" customWidth="1"/>
    <col min="11015" max="11015" width="16.4140625" style="149" customWidth="1"/>
    <col min="11016" max="11264" width="9" style="149"/>
    <col min="11265" max="11265" width="4.4140625" style="149" customWidth="1"/>
    <col min="11266" max="11266" width="40.08203125" style="149" bestFit="1" customWidth="1"/>
    <col min="11267" max="11267" width="21.08203125" style="149" customWidth="1"/>
    <col min="11268" max="11268" width="19.08203125" style="149" customWidth="1"/>
    <col min="11269" max="11269" width="15.08203125" style="149" customWidth="1"/>
    <col min="11270" max="11270" width="14.4140625" style="149" bestFit="1" customWidth="1"/>
    <col min="11271" max="11271" width="16.4140625" style="149" customWidth="1"/>
    <col min="11272" max="11520" width="9" style="149"/>
    <col min="11521" max="11521" width="4.4140625" style="149" customWidth="1"/>
    <col min="11522" max="11522" width="40.08203125" style="149" bestFit="1" customWidth="1"/>
    <col min="11523" max="11523" width="21.08203125" style="149" customWidth="1"/>
    <col min="11524" max="11524" width="19.08203125" style="149" customWidth="1"/>
    <col min="11525" max="11525" width="15.08203125" style="149" customWidth="1"/>
    <col min="11526" max="11526" width="14.4140625" style="149" bestFit="1" customWidth="1"/>
    <col min="11527" max="11527" width="16.4140625" style="149" customWidth="1"/>
    <col min="11528" max="11776" width="9" style="149"/>
    <col min="11777" max="11777" width="4.4140625" style="149" customWidth="1"/>
    <col min="11778" max="11778" width="40.08203125" style="149" bestFit="1" customWidth="1"/>
    <col min="11779" max="11779" width="21.08203125" style="149" customWidth="1"/>
    <col min="11780" max="11780" width="19.08203125" style="149" customWidth="1"/>
    <col min="11781" max="11781" width="15.08203125" style="149" customWidth="1"/>
    <col min="11782" max="11782" width="14.4140625" style="149" bestFit="1" customWidth="1"/>
    <col min="11783" max="11783" width="16.4140625" style="149" customWidth="1"/>
    <col min="11784" max="12032" width="9" style="149"/>
    <col min="12033" max="12033" width="4.4140625" style="149" customWidth="1"/>
    <col min="12034" max="12034" width="40.08203125" style="149" bestFit="1" customWidth="1"/>
    <col min="12035" max="12035" width="21.08203125" style="149" customWidth="1"/>
    <col min="12036" max="12036" width="19.08203125" style="149" customWidth="1"/>
    <col min="12037" max="12037" width="15.08203125" style="149" customWidth="1"/>
    <col min="12038" max="12038" width="14.4140625" style="149" bestFit="1" customWidth="1"/>
    <col min="12039" max="12039" width="16.4140625" style="149" customWidth="1"/>
    <col min="12040" max="12288" width="9" style="149"/>
    <col min="12289" max="12289" width="4.4140625" style="149" customWidth="1"/>
    <col min="12290" max="12290" width="40.08203125" style="149" bestFit="1" customWidth="1"/>
    <col min="12291" max="12291" width="21.08203125" style="149" customWidth="1"/>
    <col min="12292" max="12292" width="19.08203125" style="149" customWidth="1"/>
    <col min="12293" max="12293" width="15.08203125" style="149" customWidth="1"/>
    <col min="12294" max="12294" width="14.4140625" style="149" bestFit="1" customWidth="1"/>
    <col min="12295" max="12295" width="16.4140625" style="149" customWidth="1"/>
    <col min="12296" max="12544" width="9" style="149"/>
    <col min="12545" max="12545" width="4.4140625" style="149" customWidth="1"/>
    <col min="12546" max="12546" width="40.08203125" style="149" bestFit="1" customWidth="1"/>
    <col min="12547" max="12547" width="21.08203125" style="149" customWidth="1"/>
    <col min="12548" max="12548" width="19.08203125" style="149" customWidth="1"/>
    <col min="12549" max="12549" width="15.08203125" style="149" customWidth="1"/>
    <col min="12550" max="12550" width="14.4140625" style="149" bestFit="1" customWidth="1"/>
    <col min="12551" max="12551" width="16.4140625" style="149" customWidth="1"/>
    <col min="12552" max="12800" width="9" style="149"/>
    <col min="12801" max="12801" width="4.4140625" style="149" customWidth="1"/>
    <col min="12802" max="12802" width="40.08203125" style="149" bestFit="1" customWidth="1"/>
    <col min="12803" max="12803" width="21.08203125" style="149" customWidth="1"/>
    <col min="12804" max="12804" width="19.08203125" style="149" customWidth="1"/>
    <col min="12805" max="12805" width="15.08203125" style="149" customWidth="1"/>
    <col min="12806" max="12806" width="14.4140625" style="149" bestFit="1" customWidth="1"/>
    <col min="12807" max="12807" width="16.4140625" style="149" customWidth="1"/>
    <col min="12808" max="13056" width="9" style="149"/>
    <col min="13057" max="13057" width="4.4140625" style="149" customWidth="1"/>
    <col min="13058" max="13058" width="40.08203125" style="149" bestFit="1" customWidth="1"/>
    <col min="13059" max="13059" width="21.08203125" style="149" customWidth="1"/>
    <col min="13060" max="13060" width="19.08203125" style="149" customWidth="1"/>
    <col min="13061" max="13061" width="15.08203125" style="149" customWidth="1"/>
    <col min="13062" max="13062" width="14.4140625" style="149" bestFit="1" customWidth="1"/>
    <col min="13063" max="13063" width="16.4140625" style="149" customWidth="1"/>
    <col min="13064" max="13312" width="9" style="149"/>
    <col min="13313" max="13313" width="4.4140625" style="149" customWidth="1"/>
    <col min="13314" max="13314" width="40.08203125" style="149" bestFit="1" customWidth="1"/>
    <col min="13315" max="13315" width="21.08203125" style="149" customWidth="1"/>
    <col min="13316" max="13316" width="19.08203125" style="149" customWidth="1"/>
    <col min="13317" max="13317" width="15.08203125" style="149" customWidth="1"/>
    <col min="13318" max="13318" width="14.4140625" style="149" bestFit="1" customWidth="1"/>
    <col min="13319" max="13319" width="16.4140625" style="149" customWidth="1"/>
    <col min="13320" max="13568" width="9" style="149"/>
    <col min="13569" max="13569" width="4.4140625" style="149" customWidth="1"/>
    <col min="13570" max="13570" width="40.08203125" style="149" bestFit="1" customWidth="1"/>
    <col min="13571" max="13571" width="21.08203125" style="149" customWidth="1"/>
    <col min="13572" max="13572" width="19.08203125" style="149" customWidth="1"/>
    <col min="13573" max="13573" width="15.08203125" style="149" customWidth="1"/>
    <col min="13574" max="13574" width="14.4140625" style="149" bestFit="1" customWidth="1"/>
    <col min="13575" max="13575" width="16.4140625" style="149" customWidth="1"/>
    <col min="13576" max="13824" width="9" style="149"/>
    <col min="13825" max="13825" width="4.4140625" style="149" customWidth="1"/>
    <col min="13826" max="13826" width="40.08203125" style="149" bestFit="1" customWidth="1"/>
    <col min="13827" max="13827" width="21.08203125" style="149" customWidth="1"/>
    <col min="13828" max="13828" width="19.08203125" style="149" customWidth="1"/>
    <col min="13829" max="13829" width="15.08203125" style="149" customWidth="1"/>
    <col min="13830" max="13830" width="14.4140625" style="149" bestFit="1" customWidth="1"/>
    <col min="13831" max="13831" width="16.4140625" style="149" customWidth="1"/>
    <col min="13832" max="14080" width="9" style="149"/>
    <col min="14081" max="14081" width="4.4140625" style="149" customWidth="1"/>
    <col min="14082" max="14082" width="40.08203125" style="149" bestFit="1" customWidth="1"/>
    <col min="14083" max="14083" width="21.08203125" style="149" customWidth="1"/>
    <col min="14084" max="14084" width="19.08203125" style="149" customWidth="1"/>
    <col min="14085" max="14085" width="15.08203125" style="149" customWidth="1"/>
    <col min="14086" max="14086" width="14.4140625" style="149" bestFit="1" customWidth="1"/>
    <col min="14087" max="14087" width="16.4140625" style="149" customWidth="1"/>
    <col min="14088" max="14336" width="9" style="149"/>
    <col min="14337" max="14337" width="4.4140625" style="149" customWidth="1"/>
    <col min="14338" max="14338" width="40.08203125" style="149" bestFit="1" customWidth="1"/>
    <col min="14339" max="14339" width="21.08203125" style="149" customWidth="1"/>
    <col min="14340" max="14340" width="19.08203125" style="149" customWidth="1"/>
    <col min="14341" max="14341" width="15.08203125" style="149" customWidth="1"/>
    <col min="14342" max="14342" width="14.4140625" style="149" bestFit="1" customWidth="1"/>
    <col min="14343" max="14343" width="16.4140625" style="149" customWidth="1"/>
    <col min="14344" max="14592" width="9" style="149"/>
    <col min="14593" max="14593" width="4.4140625" style="149" customWidth="1"/>
    <col min="14594" max="14594" width="40.08203125" style="149" bestFit="1" customWidth="1"/>
    <col min="14595" max="14595" width="21.08203125" style="149" customWidth="1"/>
    <col min="14596" max="14596" width="19.08203125" style="149" customWidth="1"/>
    <col min="14597" max="14597" width="15.08203125" style="149" customWidth="1"/>
    <col min="14598" max="14598" width="14.4140625" style="149" bestFit="1" customWidth="1"/>
    <col min="14599" max="14599" width="16.4140625" style="149" customWidth="1"/>
    <col min="14600" max="14848" width="9" style="149"/>
    <col min="14849" max="14849" width="4.4140625" style="149" customWidth="1"/>
    <col min="14850" max="14850" width="40.08203125" style="149" bestFit="1" customWidth="1"/>
    <col min="14851" max="14851" width="21.08203125" style="149" customWidth="1"/>
    <col min="14852" max="14852" width="19.08203125" style="149" customWidth="1"/>
    <col min="14853" max="14853" width="15.08203125" style="149" customWidth="1"/>
    <col min="14854" max="14854" width="14.4140625" style="149" bestFit="1" customWidth="1"/>
    <col min="14855" max="14855" width="16.4140625" style="149" customWidth="1"/>
    <col min="14856" max="15104" width="9" style="149"/>
    <col min="15105" max="15105" width="4.4140625" style="149" customWidth="1"/>
    <col min="15106" max="15106" width="40.08203125" style="149" bestFit="1" customWidth="1"/>
    <col min="15107" max="15107" width="21.08203125" style="149" customWidth="1"/>
    <col min="15108" max="15108" width="19.08203125" style="149" customWidth="1"/>
    <col min="15109" max="15109" width="15.08203125" style="149" customWidth="1"/>
    <col min="15110" max="15110" width="14.4140625" style="149" bestFit="1" customWidth="1"/>
    <col min="15111" max="15111" width="16.4140625" style="149" customWidth="1"/>
    <col min="15112" max="15360" width="9" style="149"/>
    <col min="15361" max="15361" width="4.4140625" style="149" customWidth="1"/>
    <col min="15362" max="15362" width="40.08203125" style="149" bestFit="1" customWidth="1"/>
    <col min="15363" max="15363" width="21.08203125" style="149" customWidth="1"/>
    <col min="15364" max="15364" width="19.08203125" style="149" customWidth="1"/>
    <col min="15365" max="15365" width="15.08203125" style="149" customWidth="1"/>
    <col min="15366" max="15366" width="14.4140625" style="149" bestFit="1" customWidth="1"/>
    <col min="15367" max="15367" width="16.4140625" style="149" customWidth="1"/>
    <col min="15368" max="15616" width="9" style="149"/>
    <col min="15617" max="15617" width="4.4140625" style="149" customWidth="1"/>
    <col min="15618" max="15618" width="40.08203125" style="149" bestFit="1" customWidth="1"/>
    <col min="15619" max="15619" width="21.08203125" style="149" customWidth="1"/>
    <col min="15620" max="15620" width="19.08203125" style="149" customWidth="1"/>
    <col min="15621" max="15621" width="15.08203125" style="149" customWidth="1"/>
    <col min="15622" max="15622" width="14.4140625" style="149" bestFit="1" customWidth="1"/>
    <col min="15623" max="15623" width="16.4140625" style="149" customWidth="1"/>
    <col min="15624" max="15872" width="9" style="149"/>
    <col min="15873" max="15873" width="4.4140625" style="149" customWidth="1"/>
    <col min="15874" max="15874" width="40.08203125" style="149" bestFit="1" customWidth="1"/>
    <col min="15875" max="15875" width="21.08203125" style="149" customWidth="1"/>
    <col min="15876" max="15876" width="19.08203125" style="149" customWidth="1"/>
    <col min="15877" max="15877" width="15.08203125" style="149" customWidth="1"/>
    <col min="15878" max="15878" width="14.4140625" style="149" bestFit="1" customWidth="1"/>
    <col min="15879" max="15879" width="16.4140625" style="149" customWidth="1"/>
    <col min="15880" max="16128" width="9" style="149"/>
    <col min="16129" max="16129" width="4.4140625" style="149" customWidth="1"/>
    <col min="16130" max="16130" width="40.08203125" style="149" bestFit="1" customWidth="1"/>
    <col min="16131" max="16131" width="21.08203125" style="149" customWidth="1"/>
    <col min="16132" max="16132" width="19.08203125" style="149" customWidth="1"/>
    <col min="16133" max="16133" width="15.08203125" style="149" customWidth="1"/>
    <col min="16134" max="16134" width="14.4140625" style="149" bestFit="1" customWidth="1"/>
    <col min="16135" max="16135" width="16.4140625" style="149" customWidth="1"/>
    <col min="16136" max="16384" width="9" style="149"/>
  </cols>
  <sheetData>
    <row r="1" spans="1:15">
      <c r="A1" s="1547" t="s">
        <v>251</v>
      </c>
      <c r="B1" s="1547"/>
      <c r="G1" s="148" t="s">
        <v>346</v>
      </c>
      <c r="I1" s="1547" t="s">
        <v>251</v>
      </c>
      <c r="J1" s="1547"/>
      <c r="K1" s="147"/>
      <c r="L1" s="147"/>
      <c r="M1" s="147"/>
      <c r="N1" s="147"/>
      <c r="O1" s="148" t="s">
        <v>259</v>
      </c>
    </row>
    <row r="2" spans="1:15" ht="46.5">
      <c r="A2" s="1548" t="s">
        <v>0</v>
      </c>
      <c r="B2" s="1548"/>
      <c r="C2" s="283" t="s">
        <v>630</v>
      </c>
      <c r="G2" s="150" t="s">
        <v>347</v>
      </c>
      <c r="I2" s="1548" t="s">
        <v>0</v>
      </c>
      <c r="J2" s="1548"/>
      <c r="K2" s="147"/>
      <c r="L2" s="147"/>
      <c r="M2" s="147"/>
      <c r="N2" s="147"/>
      <c r="O2" s="151" t="s">
        <v>347</v>
      </c>
    </row>
    <row r="3" spans="1:15" ht="57" customHeight="1">
      <c r="A3" s="1549" t="s">
        <v>391</v>
      </c>
      <c r="B3" s="1549"/>
      <c r="C3" s="1549"/>
      <c r="D3" s="1549"/>
      <c r="E3" s="1549"/>
      <c r="F3" s="1549"/>
      <c r="G3" s="1549"/>
      <c r="I3" s="1549" t="s">
        <v>391</v>
      </c>
      <c r="J3" s="1549"/>
      <c r="K3" s="1549"/>
      <c r="L3" s="1549"/>
      <c r="M3" s="1549"/>
      <c r="N3" s="1549"/>
      <c r="O3" s="1549"/>
    </row>
    <row r="4" spans="1:15" s="154" customFormat="1" ht="75">
      <c r="A4" s="152" t="s">
        <v>5</v>
      </c>
      <c r="B4" s="153" t="s">
        <v>348</v>
      </c>
      <c r="C4" s="153" t="s">
        <v>349</v>
      </c>
      <c r="D4" s="153" t="s">
        <v>350</v>
      </c>
      <c r="E4" s="153" t="s">
        <v>351</v>
      </c>
      <c r="F4" s="153" t="s">
        <v>352</v>
      </c>
      <c r="G4" s="153" t="s">
        <v>16</v>
      </c>
      <c r="I4" s="152" t="s">
        <v>5</v>
      </c>
      <c r="J4" s="153" t="s">
        <v>348</v>
      </c>
      <c r="K4" s="153" t="s">
        <v>349</v>
      </c>
      <c r="L4" s="153" t="s">
        <v>350</v>
      </c>
      <c r="M4" s="153" t="s">
        <v>351</v>
      </c>
      <c r="N4" s="153" t="s">
        <v>352</v>
      </c>
      <c r="O4" s="153" t="s">
        <v>16</v>
      </c>
    </row>
    <row r="5" spans="1:15" s="154" customFormat="1" ht="15">
      <c r="A5" s="152"/>
      <c r="B5" s="438" t="s">
        <v>707</v>
      </c>
      <c r="C5" s="153"/>
      <c r="D5" s="153"/>
      <c r="E5" s="153"/>
      <c r="F5" s="153"/>
      <c r="G5" s="153"/>
      <c r="I5" s="152"/>
      <c r="J5" s="153"/>
      <c r="K5" s="153"/>
      <c r="L5" s="153"/>
      <c r="M5" s="153"/>
      <c r="N5" s="153"/>
      <c r="O5" s="153"/>
    </row>
    <row r="6" spans="1:15">
      <c r="A6" s="155">
        <v>1</v>
      </c>
      <c r="B6" s="439" t="s">
        <v>381</v>
      </c>
      <c r="C6" s="157"/>
      <c r="D6" s="157"/>
      <c r="E6" s="157"/>
      <c r="F6" s="157"/>
      <c r="G6" s="158"/>
      <c r="I6" s="155">
        <v>1</v>
      </c>
      <c r="J6" s="439" t="s">
        <v>381</v>
      </c>
      <c r="K6" s="157"/>
      <c r="L6" s="157"/>
      <c r="M6" s="157"/>
      <c r="N6" s="157"/>
      <c r="O6" s="158"/>
    </row>
    <row r="7" spans="1:15" s="154" customFormat="1">
      <c r="A7" s="155"/>
      <c r="B7" s="156" t="s">
        <v>709</v>
      </c>
      <c r="C7" s="441">
        <v>1298937771</v>
      </c>
      <c r="D7" s="441">
        <v>451059834.94378763</v>
      </c>
      <c r="E7" s="441">
        <v>326020808.88000005</v>
      </c>
      <c r="F7" s="441">
        <v>2076018414.8237877</v>
      </c>
      <c r="G7" s="158"/>
      <c r="I7" s="152"/>
      <c r="J7" s="156" t="s">
        <v>709</v>
      </c>
      <c r="K7" s="441">
        <f>1298937771/1000</f>
        <v>1298937.7709999999</v>
      </c>
      <c r="L7" s="441">
        <f>451059834.943788/1000</f>
        <v>451059.83494378801</v>
      </c>
      <c r="M7" s="441">
        <f>326020808.88/1000</f>
        <v>326020.80887999997</v>
      </c>
      <c r="N7" s="441">
        <f>2076018414.82379/1000</f>
        <v>2076018.4148237901</v>
      </c>
      <c r="O7" s="158"/>
    </row>
    <row r="8" spans="1:15" s="154" customFormat="1">
      <c r="A8" s="155"/>
      <c r="B8" s="156" t="s">
        <v>710</v>
      </c>
      <c r="C8" s="441">
        <v>1677215623.6199999</v>
      </c>
      <c r="D8" s="441">
        <v>905329917.12504196</v>
      </c>
      <c r="E8" s="441">
        <v>394927325.04000002</v>
      </c>
      <c r="F8" s="441">
        <v>2977472865.7850423</v>
      </c>
      <c r="G8" s="158"/>
      <c r="I8" s="152"/>
      <c r="J8" s="156" t="s">
        <v>710</v>
      </c>
      <c r="K8" s="441">
        <f>1677215623.62/1000</f>
        <v>1677215.62362</v>
      </c>
      <c r="L8" s="441">
        <f>905329917.125042/1000</f>
        <v>905329.91712504195</v>
      </c>
      <c r="M8" s="441">
        <f>394927325.04/1000</f>
        <v>394927.32504000003</v>
      </c>
      <c r="N8" s="441">
        <f>2977472865.78504/1000</f>
        <v>2977472.86578504</v>
      </c>
      <c r="O8" s="158"/>
    </row>
    <row r="9" spans="1:15" s="154" customFormat="1">
      <c r="A9" s="155"/>
      <c r="B9" s="156" t="s">
        <v>711</v>
      </c>
      <c r="C9" s="441">
        <v>1257446878.8839998</v>
      </c>
      <c r="D9" s="441">
        <v>1469674372.1349423</v>
      </c>
      <c r="E9" s="441">
        <v>295536295.72800004</v>
      </c>
      <c r="F9" s="441">
        <v>3022657546.746943</v>
      </c>
      <c r="G9" s="158"/>
      <c r="I9" s="152"/>
      <c r="J9" s="156" t="s">
        <v>711</v>
      </c>
      <c r="K9" s="441">
        <f>1257446878.884/1000</f>
        <v>1257446.878884</v>
      </c>
      <c r="L9" s="441">
        <f>1469674372.13494/1000</f>
        <v>1469674.37213494</v>
      </c>
      <c r="M9" s="441">
        <f>295536295.728/1000</f>
        <v>295536.295728</v>
      </c>
      <c r="N9" s="441">
        <f>3022657546.74694/1000</f>
        <v>3022657.5467469404</v>
      </c>
      <c r="O9" s="158"/>
    </row>
    <row r="10" spans="1:15" s="154" customFormat="1">
      <c r="A10" s="155"/>
      <c r="B10" s="156" t="s">
        <v>712</v>
      </c>
      <c r="C10" s="441">
        <v>1260051667.7399998</v>
      </c>
      <c r="D10" s="441">
        <v>1767736120.3655221</v>
      </c>
      <c r="E10" s="441">
        <v>296421184.08000004</v>
      </c>
      <c r="F10" s="441">
        <v>3324208972.1855221</v>
      </c>
      <c r="G10" s="158"/>
      <c r="I10" s="152"/>
      <c r="J10" s="156" t="s">
        <v>712</v>
      </c>
      <c r="K10" s="441">
        <f>1260051667.74/1000</f>
        <v>1260051.6677399999</v>
      </c>
      <c r="L10" s="441">
        <f>1767736120.36552/1000</f>
        <v>1767736.12036552</v>
      </c>
      <c r="M10" s="441">
        <f>296421184.08/1000</f>
        <v>296421.18407999998</v>
      </c>
      <c r="N10" s="441">
        <f>3324208972.18552/1000</f>
        <v>3324208.97218552</v>
      </c>
      <c r="O10" s="158"/>
    </row>
    <row r="11" spans="1:15" s="154" customFormat="1">
      <c r="A11" s="155"/>
      <c r="B11" s="156" t="s">
        <v>713</v>
      </c>
      <c r="C11" s="441">
        <v>2082287215.8000002</v>
      </c>
      <c r="D11" s="441">
        <v>544775790.87479448</v>
      </c>
      <c r="E11" s="441">
        <v>515352021.60000002</v>
      </c>
      <c r="F11" s="441">
        <v>3142415028.2747951</v>
      </c>
      <c r="G11" s="158"/>
      <c r="I11" s="152"/>
      <c r="J11" s="156" t="s">
        <v>713</v>
      </c>
      <c r="K11" s="441">
        <f>2082287215.8/1000</f>
        <v>2082287.2157999999</v>
      </c>
      <c r="L11" s="441">
        <f>544775790.874794/1000</f>
        <v>544775.79087479401</v>
      </c>
      <c r="M11" s="441">
        <f>515352021.6/1000</f>
        <v>515352.02160000004</v>
      </c>
      <c r="N11" s="441">
        <f>3142415028.2748/1000</f>
        <v>3142415.0282747997</v>
      </c>
      <c r="O11" s="158"/>
    </row>
    <row r="12" spans="1:15" s="154" customFormat="1">
      <c r="A12" s="155"/>
      <c r="B12" s="156" t="s">
        <v>714</v>
      </c>
      <c r="C12" s="441">
        <v>1707763557.8399999</v>
      </c>
      <c r="D12" s="441">
        <v>521428225.4325158</v>
      </c>
      <c r="E12" s="441">
        <v>398846585.28000003</v>
      </c>
      <c r="F12" s="441">
        <v>2628038368.552516</v>
      </c>
      <c r="G12" s="158"/>
      <c r="I12" s="152"/>
      <c r="J12" s="156" t="s">
        <v>714</v>
      </c>
      <c r="K12" s="441">
        <f>1707763557.84/1000</f>
        <v>1707763.5578399999</v>
      </c>
      <c r="L12" s="441">
        <f>521428225.432516/1000</f>
        <v>521428.22543251596</v>
      </c>
      <c r="M12" s="441">
        <f>398846585.28/1000</f>
        <v>398846.58528</v>
      </c>
      <c r="N12" s="441">
        <f>2628038368.55252/1000</f>
        <v>2628038.3685525199</v>
      </c>
      <c r="O12" s="158"/>
    </row>
    <row r="13" spans="1:15" s="154" customFormat="1">
      <c r="A13" s="155"/>
      <c r="B13" s="156" t="s">
        <v>715</v>
      </c>
      <c r="C13" s="441">
        <v>2496654075.6599998</v>
      </c>
      <c r="D13" s="441">
        <v>911311868.64822686</v>
      </c>
      <c r="E13" s="441">
        <v>588400296.72000003</v>
      </c>
      <c r="F13" s="441">
        <v>3996366241.0282278</v>
      </c>
      <c r="G13" s="158"/>
      <c r="I13" s="152"/>
      <c r="J13" s="156" t="s">
        <v>715</v>
      </c>
      <c r="K13" s="441">
        <f>2496654075.66/1000</f>
        <v>2496654.0756599996</v>
      </c>
      <c r="L13" s="441">
        <f>911311868.648227/1000</f>
        <v>911311.86864822695</v>
      </c>
      <c r="M13" s="441">
        <f>588400296.72/1000</f>
        <v>588400.29671999998</v>
      </c>
      <c r="N13" s="441">
        <f>3996366241.02823/1000</f>
        <v>3996366.2410282302</v>
      </c>
      <c r="O13" s="158"/>
    </row>
    <row r="14" spans="1:15" s="154" customFormat="1">
      <c r="A14" s="155"/>
      <c r="B14" s="156" t="s">
        <v>716</v>
      </c>
      <c r="C14" s="441">
        <v>1566879374.46</v>
      </c>
      <c r="D14" s="441">
        <v>433505312.98064876</v>
      </c>
      <c r="E14" s="441">
        <v>413538187.92000002</v>
      </c>
      <c r="F14" s="441">
        <v>2413922875.3606491</v>
      </c>
      <c r="G14" s="158"/>
      <c r="I14" s="152"/>
      <c r="J14" s="156" t="s">
        <v>716</v>
      </c>
      <c r="K14" s="441">
        <f>1566879374.46/1000</f>
        <v>1566879.3744600001</v>
      </c>
      <c r="L14" s="441">
        <f>433505312.980649/1000</f>
        <v>433505.312980649</v>
      </c>
      <c r="M14" s="441">
        <f>413538187.92/1000</f>
        <v>413538.18792</v>
      </c>
      <c r="N14" s="441">
        <f>2413922875.36065/1000</f>
        <v>2413922.87536065</v>
      </c>
      <c r="O14" s="158"/>
    </row>
    <row r="15" spans="1:15" s="154" customFormat="1">
      <c r="A15" s="155"/>
      <c r="B15" s="156" t="s">
        <v>717</v>
      </c>
      <c r="C15" s="441">
        <v>2247729055.3260002</v>
      </c>
      <c r="D15" s="441">
        <v>1696279976.7052901</v>
      </c>
      <c r="E15" s="441">
        <v>532723396.39200002</v>
      </c>
      <c r="F15" s="441">
        <v>4476732428.4232912</v>
      </c>
      <c r="G15" s="158"/>
      <c r="I15" s="152"/>
      <c r="J15" s="156" t="s">
        <v>717</v>
      </c>
      <c r="K15" s="441">
        <f>2247729055.326/1000</f>
        <v>2247729.0553260003</v>
      </c>
      <c r="L15" s="441">
        <f>1696279976.70529/1000</f>
        <v>1696279.9767052901</v>
      </c>
      <c r="M15" s="441">
        <f>532723396.392/1000</f>
        <v>532723.39639200002</v>
      </c>
      <c r="N15" s="441">
        <f>4476732428.42329/1000</f>
        <v>4476732.4284232901</v>
      </c>
      <c r="O15" s="158"/>
    </row>
    <row r="16" spans="1:15" s="154" customFormat="1">
      <c r="A16" s="155"/>
      <c r="B16" s="156" t="s">
        <v>718</v>
      </c>
      <c r="C16" s="441">
        <v>581274997.44000006</v>
      </c>
      <c r="D16" s="441">
        <v>412239722.05003357</v>
      </c>
      <c r="E16" s="441">
        <v>139179636.48000002</v>
      </c>
      <c r="F16" s="441">
        <v>1132694355.9700336</v>
      </c>
      <c r="G16" s="158"/>
      <c r="I16" s="152"/>
      <c r="J16" s="156" t="s">
        <v>718</v>
      </c>
      <c r="K16" s="441">
        <f>581274997.44/1000</f>
        <v>581274.99744000006</v>
      </c>
      <c r="L16" s="441">
        <f>412239722.050034/1000</f>
        <v>412239.72205003398</v>
      </c>
      <c r="M16" s="441">
        <f>139179636.48/1000</f>
        <v>139179.63647999999</v>
      </c>
      <c r="N16" s="441">
        <f>1132694355.97003/1000</f>
        <v>1132694.3559700302</v>
      </c>
      <c r="O16" s="158"/>
    </row>
    <row r="17" spans="1:15" s="154" customFormat="1">
      <c r="A17" s="155"/>
      <c r="B17" s="156" t="s">
        <v>719</v>
      </c>
      <c r="C17" s="441">
        <v>3883786093.9200001</v>
      </c>
      <c r="D17" s="441">
        <v>1429721053.7739069</v>
      </c>
      <c r="E17" s="441">
        <v>998109804.48000026</v>
      </c>
      <c r="F17" s="441">
        <v>6311616952.1739063</v>
      </c>
      <c r="G17" s="158"/>
      <c r="I17" s="152"/>
      <c r="J17" s="156" t="s">
        <v>719</v>
      </c>
      <c r="K17" s="441">
        <f>3883786093.92/1000</f>
        <v>3883786.0939199999</v>
      </c>
      <c r="L17" s="441">
        <f>1429721053.77391/1000</f>
        <v>1429721.05377391</v>
      </c>
      <c r="M17" s="441">
        <f>998109804.48/1000</f>
        <v>998109.80448000005</v>
      </c>
      <c r="N17" s="441">
        <f>6311616952.17391/1000</f>
        <v>6311616.9521739101</v>
      </c>
      <c r="O17" s="158"/>
    </row>
    <row r="18" spans="1:15" s="154" customFormat="1">
      <c r="A18" s="155"/>
      <c r="B18" s="156" t="s">
        <v>720</v>
      </c>
      <c r="C18" s="441">
        <v>1359734142.6599998</v>
      </c>
      <c r="D18" s="441">
        <v>470449131.8606897</v>
      </c>
      <c r="E18" s="441">
        <v>338150028.72000009</v>
      </c>
      <c r="F18" s="441">
        <v>2168333303.2406898</v>
      </c>
      <c r="G18" s="158"/>
      <c r="I18" s="152"/>
      <c r="J18" s="156" t="s">
        <v>720</v>
      </c>
      <c r="K18" s="441">
        <f>1359734142.66/1000</f>
        <v>1359734.1426600001</v>
      </c>
      <c r="L18" s="441">
        <f>470449131.86069/1000</f>
        <v>470449.13186069002</v>
      </c>
      <c r="M18" s="441">
        <f>338150028.72/1000</f>
        <v>338150.02872</v>
      </c>
      <c r="N18" s="441">
        <f>2168333303.24069/1000</f>
        <v>2168333.3032406904</v>
      </c>
      <c r="O18" s="158"/>
    </row>
    <row r="19" spans="1:15" s="154" customFormat="1">
      <c r="A19" s="155"/>
      <c r="B19" s="156" t="s">
        <v>721</v>
      </c>
      <c r="C19" s="441">
        <v>500801657.28000003</v>
      </c>
      <c r="D19" s="441">
        <v>274626291.9284035</v>
      </c>
      <c r="E19" s="441">
        <v>120081221.76000002</v>
      </c>
      <c r="F19" s="441">
        <v>895509170.96840346</v>
      </c>
      <c r="G19" s="158"/>
      <c r="I19" s="152"/>
      <c r="J19" s="156" t="s">
        <v>721</v>
      </c>
      <c r="K19" s="441">
        <f>500801657.28/1000</f>
        <v>500801.65727999998</v>
      </c>
      <c r="L19" s="441">
        <f>274626291.928403/1000</f>
        <v>274626.29192840302</v>
      </c>
      <c r="M19" s="441">
        <f>120081221.76/1000</f>
        <v>120081.22176</v>
      </c>
      <c r="N19" s="441">
        <f>895509170.968403/1000</f>
        <v>895509.17096840299</v>
      </c>
      <c r="O19" s="158"/>
    </row>
    <row r="20" spans="1:15" s="154" customFormat="1">
      <c r="A20" s="155"/>
      <c r="B20" s="156" t="s">
        <v>722</v>
      </c>
      <c r="C20" s="441">
        <v>683783016.12</v>
      </c>
      <c r="D20" s="441">
        <v>326557517.07712382</v>
      </c>
      <c r="E20" s="441">
        <v>169939172.64000002</v>
      </c>
      <c r="F20" s="441">
        <v>1180279705.8371239</v>
      </c>
      <c r="G20" s="158"/>
      <c r="I20" s="152"/>
      <c r="J20" s="156" t="s">
        <v>722</v>
      </c>
      <c r="K20" s="441">
        <f>683783016.12/1000</f>
        <v>683783.01612000004</v>
      </c>
      <c r="L20" s="441">
        <f>326557517.077124/1000</f>
        <v>326557.51707712398</v>
      </c>
      <c r="M20" s="441">
        <f>169939172.64/1000</f>
        <v>169939.17263999998</v>
      </c>
      <c r="N20" s="441">
        <f>1180279705.83712/1000</f>
        <v>1180279.7058371201</v>
      </c>
      <c r="O20" s="158"/>
    </row>
    <row r="21" spans="1:15">
      <c r="A21" s="155">
        <v>2</v>
      </c>
      <c r="B21" s="439" t="s">
        <v>649</v>
      </c>
      <c r="C21" s="157"/>
      <c r="D21" s="157"/>
      <c r="E21" s="157"/>
      <c r="F21" s="157"/>
      <c r="G21" s="158"/>
      <c r="I21" s="155">
        <v>2</v>
      </c>
      <c r="J21" s="439" t="s">
        <v>649</v>
      </c>
      <c r="K21" s="635">
        <f>SUM(K22:K26)</f>
        <v>6924732.7157399999</v>
      </c>
      <c r="L21" s="635">
        <f t="shared" ref="L21:N21" si="0">SUM(L22:L26)</f>
        <v>4656787.834388121</v>
      </c>
      <c r="M21" s="635">
        <f t="shared" si="0"/>
        <v>1653177.0400799999</v>
      </c>
      <c r="N21" s="635">
        <f t="shared" si="0"/>
        <v>13234697.590208119</v>
      </c>
      <c r="O21" s="158"/>
    </row>
    <row r="22" spans="1:15" s="154" customFormat="1" ht="31">
      <c r="A22" s="155"/>
      <c r="B22" s="156" t="s">
        <v>728</v>
      </c>
      <c r="C22" s="441">
        <v>1704261420.5999999</v>
      </c>
      <c r="D22" s="441">
        <v>753320282.90688491</v>
      </c>
      <c r="E22" s="441">
        <v>404333671.20000005</v>
      </c>
      <c r="F22" s="441">
        <v>2861915374.7068849</v>
      </c>
      <c r="G22" s="158"/>
      <c r="I22" s="152"/>
      <c r="J22" s="156" t="s">
        <v>728</v>
      </c>
      <c r="K22" s="441">
        <f>1704261420.6/1000</f>
        <v>1704261.4205999998</v>
      </c>
      <c r="L22" s="441">
        <f>753320282.906885/1000</f>
        <v>753320.28290688503</v>
      </c>
      <c r="M22" s="441">
        <f>404333671.2/1000</f>
        <v>404333.67119999998</v>
      </c>
      <c r="N22" s="441">
        <f>2861915374.70688/1000</f>
        <v>2861915.3747068802</v>
      </c>
      <c r="O22" s="153"/>
    </row>
    <row r="23" spans="1:15" s="154" customFormat="1" ht="31">
      <c r="A23" s="155"/>
      <c r="B23" s="156" t="s">
        <v>729</v>
      </c>
      <c r="C23" s="441">
        <v>1797957485.1600003</v>
      </c>
      <c r="D23" s="441">
        <v>721903415.97511756</v>
      </c>
      <c r="E23" s="441">
        <v>431055402.72000009</v>
      </c>
      <c r="F23" s="441">
        <v>2950916303.8551178</v>
      </c>
      <c r="G23" s="158"/>
      <c r="I23" s="152"/>
      <c r="J23" s="156" t="s">
        <v>729</v>
      </c>
      <c r="K23" s="441">
        <f>1797957485.16/1000</f>
        <v>1797957.4851600002</v>
      </c>
      <c r="L23" s="441">
        <f>721903415.975118/1000</f>
        <v>721903.41597511806</v>
      </c>
      <c r="M23" s="441">
        <f>431055402.72/1000</f>
        <v>431055.40272000001</v>
      </c>
      <c r="N23" s="441">
        <f>2950916303.85512/1000</f>
        <v>2950916.3038551202</v>
      </c>
      <c r="O23" s="153"/>
    </row>
    <row r="24" spans="1:15" s="154" customFormat="1" ht="31">
      <c r="A24" s="155"/>
      <c r="B24" s="156" t="s">
        <v>730</v>
      </c>
      <c r="C24" s="441">
        <v>1543482294.9000001</v>
      </c>
      <c r="D24" s="441">
        <v>1573656571.2687161</v>
      </c>
      <c r="E24" s="441">
        <v>370809922.80000001</v>
      </c>
      <c r="F24" s="441">
        <v>3487948788.9687157</v>
      </c>
      <c r="G24" s="158"/>
      <c r="I24" s="152"/>
      <c r="J24" s="156" t="s">
        <v>730</v>
      </c>
      <c r="K24" s="441">
        <f>1543482294.9/1000</f>
        <v>1543482.2949000001</v>
      </c>
      <c r="L24" s="441">
        <f>1573656571.26872/1000</f>
        <v>1573656.5712687199</v>
      </c>
      <c r="M24" s="441">
        <f>370809922.8/1000</f>
        <v>370809.9228</v>
      </c>
      <c r="N24" s="441">
        <f>3487948788.96872/1000</f>
        <v>3487948.78896872</v>
      </c>
      <c r="O24" s="153"/>
    </row>
    <row r="25" spans="1:15" s="154" customFormat="1" ht="31">
      <c r="A25" s="155"/>
      <c r="B25" s="156" t="s">
        <v>731</v>
      </c>
      <c r="C25" s="441">
        <v>1451962885.0800002</v>
      </c>
      <c r="D25" s="441">
        <v>1368787745.2257314</v>
      </c>
      <c r="E25" s="441">
        <v>345759363.36000001</v>
      </c>
      <c r="F25" s="441">
        <v>3166509993.6657329</v>
      </c>
      <c r="G25" s="158"/>
      <c r="I25" s="152"/>
      <c r="J25" s="156" t="s">
        <v>731</v>
      </c>
      <c r="K25" s="441">
        <f>1451962885.08/1000</f>
        <v>1451962.8850799999</v>
      </c>
      <c r="L25" s="441">
        <f>1368787745.22573/1000</f>
        <v>1368787.7452257299</v>
      </c>
      <c r="M25" s="441">
        <f>345759363.36/1000</f>
        <v>345759.36336000002</v>
      </c>
      <c r="N25" s="441">
        <f>3166509993.66573/1000</f>
        <v>3166509.9936657301</v>
      </c>
      <c r="O25" s="153"/>
    </row>
    <row r="26" spans="1:15" s="154" customFormat="1">
      <c r="A26" s="155"/>
      <c r="B26" s="156" t="s">
        <v>732</v>
      </c>
      <c r="C26" s="441">
        <v>427068630</v>
      </c>
      <c r="D26" s="441">
        <v>239119819.0116685</v>
      </c>
      <c r="E26" s="441">
        <v>101218680.00000001</v>
      </c>
      <c r="F26" s="441">
        <v>767407129.01166844</v>
      </c>
      <c r="G26" s="158"/>
      <c r="I26" s="152"/>
      <c r="J26" s="156" t="s">
        <v>732</v>
      </c>
      <c r="K26" s="441">
        <f>427068630/1000</f>
        <v>427068.63</v>
      </c>
      <c r="L26" s="441">
        <f>239119819.011669/1000</f>
        <v>239119.81901166902</v>
      </c>
      <c r="M26" s="441">
        <f>101218680/1000</f>
        <v>101218.68</v>
      </c>
      <c r="N26" s="441">
        <f>767407129.011668/1000</f>
        <v>767407.12901166792</v>
      </c>
      <c r="O26" s="153"/>
    </row>
    <row r="27" spans="1:15">
      <c r="A27" s="155">
        <v>3</v>
      </c>
      <c r="B27" s="439" t="s">
        <v>380</v>
      </c>
      <c r="C27" s="157"/>
      <c r="D27" s="157"/>
      <c r="E27" s="157"/>
      <c r="F27" s="157"/>
      <c r="G27" s="158"/>
      <c r="I27" s="155">
        <v>3</v>
      </c>
      <c r="J27" s="439" t="s">
        <v>380</v>
      </c>
      <c r="K27" s="157"/>
      <c r="L27" s="157"/>
      <c r="M27" s="157"/>
      <c r="N27" s="157"/>
      <c r="O27" s="158"/>
    </row>
    <row r="28" spans="1:15" s="154" customFormat="1">
      <c r="A28" s="155"/>
      <c r="B28" s="156" t="s">
        <v>723</v>
      </c>
      <c r="C28" s="441">
        <v>1510794531.8400002</v>
      </c>
      <c r="D28" s="441">
        <v>984989245.19382036</v>
      </c>
      <c r="E28" s="441">
        <v>371794145.28000003</v>
      </c>
      <c r="F28" s="441">
        <v>2867577922.3138208</v>
      </c>
      <c r="G28" s="158"/>
      <c r="I28" s="152"/>
      <c r="J28" s="156" t="s">
        <v>723</v>
      </c>
      <c r="K28" s="441">
        <f>1510794531.84/1000</f>
        <v>1510794.5318399998</v>
      </c>
      <c r="L28" s="441">
        <f>984989245.19382/1000</f>
        <v>984989.24519381998</v>
      </c>
      <c r="M28" s="441">
        <f>371794145.28/1000</f>
        <v>371794.14528</v>
      </c>
      <c r="N28" s="441">
        <f>2867577922.31382/1000</f>
        <v>2867577.9223138201</v>
      </c>
      <c r="O28" s="158"/>
    </row>
    <row r="29" spans="1:15" s="154" customFormat="1">
      <c r="A29" s="155"/>
      <c r="B29" s="156" t="s">
        <v>724</v>
      </c>
      <c r="C29" s="441">
        <v>1480998270.9000001</v>
      </c>
      <c r="D29" s="441">
        <v>1149468685.8703337</v>
      </c>
      <c r="E29" s="441">
        <v>362299042.80000007</v>
      </c>
      <c r="F29" s="441">
        <v>2992765999.5703344</v>
      </c>
      <c r="G29" s="158"/>
      <c r="I29" s="152"/>
      <c r="J29" s="156" t="s">
        <v>724</v>
      </c>
      <c r="K29" s="441">
        <f>1480998270.9/1000</f>
        <v>1480998.2709000001</v>
      </c>
      <c r="L29" s="441">
        <f>1149468685.87033/1000</f>
        <v>1149468.6858703301</v>
      </c>
      <c r="M29" s="441">
        <f>362299042.8/1000</f>
        <v>362299.0428</v>
      </c>
      <c r="N29" s="441">
        <f>2992765999.57033/1000</f>
        <v>2992765.9995703301</v>
      </c>
      <c r="O29" s="158"/>
    </row>
    <row r="30" spans="1:15" s="154" customFormat="1">
      <c r="A30" s="155"/>
      <c r="B30" s="156" t="s">
        <v>725</v>
      </c>
      <c r="C30" s="441">
        <v>850445293.0200001</v>
      </c>
      <c r="D30" s="441">
        <v>634970659.91920233</v>
      </c>
      <c r="E30" s="441">
        <v>213943461.84000006</v>
      </c>
      <c r="F30" s="441">
        <v>1699359414.7792025</v>
      </c>
      <c r="G30" s="158"/>
      <c r="I30" s="152"/>
      <c r="J30" s="156" t="s">
        <v>725</v>
      </c>
      <c r="K30" s="441">
        <f>850445293.02/1000</f>
        <v>850445.29301999998</v>
      </c>
      <c r="L30" s="441">
        <f>634970659.919202/1000</f>
        <v>634970.65991920198</v>
      </c>
      <c r="M30" s="441">
        <f>213943461.84/1000</f>
        <v>213943.46184</v>
      </c>
      <c r="N30" s="441">
        <f>1699359414.7792/1000</f>
        <v>1699359.4147792</v>
      </c>
      <c r="O30" s="158"/>
    </row>
    <row r="31" spans="1:15" s="154" customFormat="1">
      <c r="A31" s="155"/>
      <c r="B31" s="156" t="s">
        <v>726</v>
      </c>
      <c r="C31" s="441">
        <v>1095191156.0400002</v>
      </c>
      <c r="D31" s="441">
        <v>602249031.32941318</v>
      </c>
      <c r="E31" s="441">
        <v>262836643.68000001</v>
      </c>
      <c r="F31" s="441">
        <v>1960276831.0494134</v>
      </c>
      <c r="G31" s="158"/>
      <c r="I31" s="152"/>
      <c r="J31" s="156" t="s">
        <v>726</v>
      </c>
      <c r="K31" s="441">
        <f>1095191156.04/1000</f>
        <v>1095191.15604</v>
      </c>
      <c r="L31" s="441">
        <f>602249031.329413/1000</f>
        <v>602249.03132941306</v>
      </c>
      <c r="M31" s="441">
        <f>262836643.68/1000</f>
        <v>262836.64367999998</v>
      </c>
      <c r="N31" s="441">
        <f>1960276831.04941/1000</f>
        <v>1960276.8310494102</v>
      </c>
      <c r="O31" s="158"/>
    </row>
    <row r="32" spans="1:15" s="154" customFormat="1">
      <c r="A32" s="155"/>
      <c r="B32" s="156" t="s">
        <v>727</v>
      </c>
      <c r="C32" s="441">
        <v>356378249.39999998</v>
      </c>
      <c r="D32" s="441">
        <v>203405774.55695534</v>
      </c>
      <c r="E32" s="441">
        <v>87048064.799999997</v>
      </c>
      <c r="F32" s="441">
        <v>646832088.75695527</v>
      </c>
      <c r="G32" s="158"/>
      <c r="I32" s="152"/>
      <c r="J32" s="156" t="s">
        <v>727</v>
      </c>
      <c r="K32" s="441">
        <f>356378249.4/1000</f>
        <v>356378.24939999997</v>
      </c>
      <c r="L32" s="441">
        <f>203405774.556955/1000</f>
        <v>203405.774556955</v>
      </c>
      <c r="M32" s="441">
        <f>87048064.8/1000</f>
        <v>87048.064799999993</v>
      </c>
      <c r="N32" s="441">
        <f>646832088.756955/1000</f>
        <v>646832.088756955</v>
      </c>
      <c r="O32" s="158"/>
    </row>
    <row r="33" spans="1:15">
      <c r="A33" s="155">
        <v>4</v>
      </c>
      <c r="B33" s="439" t="s">
        <v>386</v>
      </c>
      <c r="C33" s="157"/>
      <c r="D33" s="157"/>
      <c r="E33" s="157"/>
      <c r="F33" s="157"/>
      <c r="G33" s="158"/>
      <c r="I33" s="155">
        <v>4</v>
      </c>
      <c r="J33" s="439" t="s">
        <v>386</v>
      </c>
      <c r="K33" s="157"/>
      <c r="L33" s="157"/>
      <c r="M33" s="157"/>
      <c r="N33" s="157"/>
      <c r="O33" s="158"/>
    </row>
    <row r="34" spans="1:15" s="154" customFormat="1">
      <c r="A34" s="155"/>
      <c r="B34" s="440" t="s">
        <v>733</v>
      </c>
      <c r="C34" s="441">
        <v>518156061.84000003</v>
      </c>
      <c r="D34" s="441">
        <v>288185825.43370527</v>
      </c>
      <c r="E34" s="441">
        <v>120905561.28000003</v>
      </c>
      <c r="F34" s="441">
        <v>927247448.55370545</v>
      </c>
      <c r="G34" s="442"/>
      <c r="I34" s="152"/>
      <c r="J34" s="156" t="s">
        <v>733</v>
      </c>
      <c r="K34" s="441">
        <f>518156061.84/1000</f>
        <v>518156.06183999998</v>
      </c>
      <c r="L34" s="441">
        <f>288185825.433705/1000</f>
        <v>288185.82543370494</v>
      </c>
      <c r="M34" s="441">
        <f>120905561.28/1000</f>
        <v>120905.56127999999</v>
      </c>
      <c r="N34" s="441">
        <f>927247448.553705/1000</f>
        <v>927247.44855370501</v>
      </c>
      <c r="O34" s="153"/>
    </row>
    <row r="35" spans="1:15" s="154" customFormat="1">
      <c r="A35" s="155"/>
      <c r="B35" s="440" t="s">
        <v>734</v>
      </c>
      <c r="C35" s="441">
        <v>736600412.51999998</v>
      </c>
      <c r="D35" s="441">
        <v>404704248.53124756</v>
      </c>
      <c r="E35" s="441">
        <v>173623167.84000003</v>
      </c>
      <c r="F35" s="441">
        <v>1314927828.8912477</v>
      </c>
      <c r="G35" s="442"/>
      <c r="I35" s="152"/>
      <c r="J35" s="156" t="s">
        <v>734</v>
      </c>
      <c r="K35" s="441">
        <f>736600412.52/1000</f>
        <v>736600.41252000001</v>
      </c>
      <c r="L35" s="441">
        <f>404704248.531248/1000</f>
        <v>404704.24853124795</v>
      </c>
      <c r="M35" s="441">
        <f>173623167.84/1000</f>
        <v>173623.16784000001</v>
      </c>
      <c r="N35" s="441">
        <f>1314927828.89125/1000</f>
        <v>1314927.8288912498</v>
      </c>
      <c r="O35" s="153"/>
    </row>
    <row r="36" spans="1:15" s="154" customFormat="1">
      <c r="A36" s="155"/>
      <c r="B36" s="440" t="s">
        <v>735</v>
      </c>
      <c r="C36" s="441">
        <v>603484344.66000009</v>
      </c>
      <c r="D36" s="441">
        <v>314198773.50703406</v>
      </c>
      <c r="E36" s="441">
        <v>145378596.72000003</v>
      </c>
      <c r="F36" s="441">
        <v>1063061714.8870341</v>
      </c>
      <c r="G36" s="442"/>
      <c r="I36" s="152"/>
      <c r="J36" s="156" t="s">
        <v>735</v>
      </c>
      <c r="K36" s="441">
        <f>603484344.66/1000</f>
        <v>603484.34465999994</v>
      </c>
      <c r="L36" s="441">
        <f>314198773.507034/1000</f>
        <v>314198.773507034</v>
      </c>
      <c r="M36" s="441">
        <f>145378596.72/1000</f>
        <v>145378.59672</v>
      </c>
      <c r="N36" s="441">
        <f>1063061714.88703/1000</f>
        <v>1063061.71488703</v>
      </c>
      <c r="O36" s="153"/>
    </row>
    <row r="37" spans="1:15" s="154" customFormat="1" ht="31">
      <c r="A37" s="155"/>
      <c r="B37" s="440" t="s">
        <v>736</v>
      </c>
      <c r="C37" s="441">
        <v>894781013.76000011</v>
      </c>
      <c r="D37" s="441">
        <v>650365242.22442663</v>
      </c>
      <c r="E37" s="441">
        <v>210204145.92000005</v>
      </c>
      <c r="F37" s="441">
        <v>1755350401.9044268</v>
      </c>
      <c r="G37" s="442"/>
      <c r="I37" s="152"/>
      <c r="J37" s="156" t="s">
        <v>736</v>
      </c>
      <c r="K37" s="441">
        <f>894781013.76/1000</f>
        <v>894781.01376</v>
      </c>
      <c r="L37" s="441">
        <f>650365242.224427/1000</f>
        <v>650365.24222442694</v>
      </c>
      <c r="M37" s="441">
        <f>210204145.92/1000</f>
        <v>210204.14591999998</v>
      </c>
      <c r="N37" s="441">
        <f>1755350401.90443/1000</f>
        <v>1755350.40190443</v>
      </c>
      <c r="O37" s="153"/>
    </row>
    <row r="38" spans="1:15" s="154" customFormat="1">
      <c r="A38" s="155"/>
      <c r="B38" s="440" t="s">
        <v>737</v>
      </c>
      <c r="C38" s="441">
        <v>597297920.58000004</v>
      </c>
      <c r="D38" s="441">
        <v>343322930.23011196</v>
      </c>
      <c r="E38" s="441">
        <v>134735133.36000001</v>
      </c>
      <c r="F38" s="441">
        <v>1075355984.1701119</v>
      </c>
      <c r="G38" s="442"/>
      <c r="I38" s="152"/>
      <c r="J38" s="156" t="s">
        <v>737</v>
      </c>
      <c r="K38" s="441">
        <f>597297920.58/1000</f>
        <v>597297.92058000003</v>
      </c>
      <c r="L38" s="441">
        <f>343322930.230112/1000</f>
        <v>343322.93023011199</v>
      </c>
      <c r="M38" s="441">
        <f>134735133.36/1000</f>
        <v>134735.13336000001</v>
      </c>
      <c r="N38" s="441">
        <f>1075355984.17011/1000</f>
        <v>1075355.98417011</v>
      </c>
      <c r="O38" s="153"/>
    </row>
    <row r="39" spans="1:15">
      <c r="A39" s="155">
        <v>5</v>
      </c>
      <c r="B39" s="439" t="s">
        <v>384</v>
      </c>
      <c r="C39" s="157">
        <v>1710424613.2800002</v>
      </c>
      <c r="D39" s="157">
        <v>698469107.88030148</v>
      </c>
      <c r="E39" s="157">
        <v>434679821.76000011</v>
      </c>
      <c r="F39" s="157">
        <v>2843573542.9203019</v>
      </c>
      <c r="G39" s="158"/>
      <c r="I39" s="155">
        <v>5</v>
      </c>
      <c r="J39" s="439" t="s">
        <v>384</v>
      </c>
      <c r="K39" s="157">
        <v>1710425</v>
      </c>
      <c r="L39" s="157">
        <v>698469</v>
      </c>
      <c r="M39" s="157">
        <v>434680</v>
      </c>
      <c r="N39" s="157">
        <f t="shared" ref="N39:N45" si="1">SUM(K39:M39)</f>
        <v>2843574</v>
      </c>
      <c r="O39" s="158"/>
    </row>
    <row r="40" spans="1:15">
      <c r="A40" s="155">
        <v>6</v>
      </c>
      <c r="B40" s="156" t="s">
        <v>385</v>
      </c>
      <c r="C40" s="157">
        <v>4043236004.1000009</v>
      </c>
      <c r="D40" s="157">
        <v>2337997601.692502</v>
      </c>
      <c r="E40" s="157">
        <v>1083354170.6400001</v>
      </c>
      <c r="F40" s="157">
        <v>7464587776.4325027</v>
      </c>
      <c r="G40" s="158"/>
      <c r="I40" s="155">
        <v>6</v>
      </c>
      <c r="J40" s="156" t="s">
        <v>385</v>
      </c>
      <c r="K40" s="157">
        <v>4043236</v>
      </c>
      <c r="L40" s="157">
        <v>2337998</v>
      </c>
      <c r="M40" s="157">
        <v>1083354</v>
      </c>
      <c r="N40" s="157">
        <f t="shared" si="1"/>
        <v>7464588</v>
      </c>
      <c r="O40" s="158"/>
    </row>
    <row r="41" spans="1:15">
      <c r="A41" s="155">
        <v>7</v>
      </c>
      <c r="B41" s="156" t="s">
        <v>387</v>
      </c>
      <c r="C41" s="157">
        <v>3815518258.9799995</v>
      </c>
      <c r="D41" s="157">
        <v>1482799266.699908</v>
      </c>
      <c r="E41" s="157">
        <v>1023370704.2400002</v>
      </c>
      <c r="F41" s="157">
        <v>6321688229.9199085</v>
      </c>
      <c r="G41" s="158"/>
      <c r="I41" s="155">
        <v>7</v>
      </c>
      <c r="J41" s="156" t="s">
        <v>387</v>
      </c>
      <c r="K41" s="157">
        <v>3815518</v>
      </c>
      <c r="L41" s="157">
        <v>1482799</v>
      </c>
      <c r="M41" s="157">
        <v>1023371</v>
      </c>
      <c r="N41" s="157">
        <f t="shared" si="1"/>
        <v>6321688</v>
      </c>
      <c r="O41" s="158"/>
    </row>
    <row r="42" spans="1:15">
      <c r="A42" s="155">
        <v>8</v>
      </c>
      <c r="B42" s="156" t="s">
        <v>364</v>
      </c>
      <c r="C42" s="157">
        <v>3044245617.3600001</v>
      </c>
      <c r="D42" s="157">
        <v>1675870948.3158629</v>
      </c>
      <c r="E42" s="157">
        <v>964840166.63999999</v>
      </c>
      <c r="F42" s="157">
        <v>5684956732.3158655</v>
      </c>
      <c r="G42" s="158"/>
      <c r="I42" s="155">
        <v>8</v>
      </c>
      <c r="J42" s="156" t="s">
        <v>364</v>
      </c>
      <c r="K42" s="157">
        <v>3044246</v>
      </c>
      <c r="L42" s="157">
        <v>1675871</v>
      </c>
      <c r="M42" s="157">
        <v>964840</v>
      </c>
      <c r="N42" s="157">
        <f t="shared" si="1"/>
        <v>5684957</v>
      </c>
      <c r="O42" s="158"/>
    </row>
    <row r="43" spans="1:15">
      <c r="A43" s="155">
        <v>8</v>
      </c>
      <c r="B43" s="156" t="s">
        <v>361</v>
      </c>
      <c r="C43" s="157">
        <v>2615061120.0000005</v>
      </c>
      <c r="D43" s="157">
        <v>980154389.47291219</v>
      </c>
      <c r="E43" s="157">
        <v>635884320.00000012</v>
      </c>
      <c r="F43" s="157">
        <v>4231099829.4729118</v>
      </c>
      <c r="G43" s="158"/>
      <c r="I43" s="155">
        <v>8</v>
      </c>
      <c r="J43" s="156" t="s">
        <v>361</v>
      </c>
      <c r="K43" s="157">
        <v>2615061</v>
      </c>
      <c r="L43" s="157">
        <v>980154</v>
      </c>
      <c r="M43" s="157">
        <v>635884</v>
      </c>
      <c r="N43" s="157">
        <f t="shared" si="1"/>
        <v>4231099</v>
      </c>
      <c r="O43" s="158"/>
    </row>
    <row r="44" spans="1:15">
      <c r="A44" s="155">
        <v>9</v>
      </c>
      <c r="B44" s="156" t="s">
        <v>383</v>
      </c>
      <c r="C44" s="157">
        <v>9787006165.5827999</v>
      </c>
      <c r="D44" s="157">
        <v>3081909183.7585058</v>
      </c>
      <c r="E44" s="157">
        <v>2046315730.7376001</v>
      </c>
      <c r="F44" s="157">
        <v>14915231080.078915</v>
      </c>
      <c r="G44" s="158"/>
      <c r="I44" s="155">
        <v>9</v>
      </c>
      <c r="J44" s="156" t="s">
        <v>383</v>
      </c>
      <c r="K44" s="157">
        <v>9787006</v>
      </c>
      <c r="L44" s="157">
        <v>3081909</v>
      </c>
      <c r="M44" s="157">
        <v>2046316</v>
      </c>
      <c r="N44" s="157">
        <f t="shared" si="1"/>
        <v>14915231</v>
      </c>
      <c r="O44" s="158"/>
    </row>
    <row r="45" spans="1:15">
      <c r="A45" s="155">
        <v>10</v>
      </c>
      <c r="B45" s="439" t="s">
        <v>382</v>
      </c>
      <c r="C45" s="157">
        <v>8612290736.8199997</v>
      </c>
      <c r="D45" s="157">
        <v>3379658112.1203022</v>
      </c>
      <c r="E45" s="157">
        <v>2056798229.0400002</v>
      </c>
      <c r="F45" s="157">
        <v>14048747077.980322</v>
      </c>
      <c r="G45" s="158"/>
      <c r="I45" s="155">
        <v>10</v>
      </c>
      <c r="J45" s="439" t="s">
        <v>382</v>
      </c>
      <c r="K45" s="157">
        <v>8612291</v>
      </c>
      <c r="L45" s="157">
        <v>3379658</v>
      </c>
      <c r="M45" s="157">
        <v>2056798</v>
      </c>
      <c r="N45" s="157">
        <f t="shared" si="1"/>
        <v>14048747</v>
      </c>
      <c r="O45" s="158"/>
    </row>
    <row r="46" spans="1:15" s="154" customFormat="1">
      <c r="A46" s="155"/>
      <c r="B46" s="440" t="s">
        <v>738</v>
      </c>
      <c r="C46" s="441">
        <v>3745203534.48</v>
      </c>
      <c r="D46" s="441">
        <v>1411941246.6565254</v>
      </c>
      <c r="E46" s="441">
        <v>896966506.55999994</v>
      </c>
      <c r="F46" s="441">
        <v>6054111287.6965256</v>
      </c>
      <c r="G46" s="158"/>
      <c r="I46" s="152"/>
      <c r="J46" s="156" t="s">
        <v>738</v>
      </c>
      <c r="K46" s="441">
        <v>3745203534.48</v>
      </c>
      <c r="L46" s="441">
        <v>1411941246.6565254</v>
      </c>
      <c r="M46" s="441">
        <v>896966506.55999994</v>
      </c>
      <c r="N46" s="441">
        <v>6054111287.6965256</v>
      </c>
      <c r="O46" s="158"/>
    </row>
    <row r="47" spans="1:15" s="154" customFormat="1">
      <c r="A47" s="155"/>
      <c r="B47" s="440" t="s">
        <v>739</v>
      </c>
      <c r="C47" s="441">
        <v>2858771114.9400005</v>
      </c>
      <c r="D47" s="441">
        <v>1084367934.604933</v>
      </c>
      <c r="E47" s="441">
        <v>687714971.27999997</v>
      </c>
      <c r="F47" s="441">
        <v>4630854020.8249331</v>
      </c>
      <c r="G47" s="158"/>
      <c r="I47" s="152"/>
      <c r="J47" s="156" t="s">
        <v>739</v>
      </c>
      <c r="K47" s="441">
        <v>2858771114.9400005</v>
      </c>
      <c r="L47" s="441">
        <v>1084367934.604933</v>
      </c>
      <c r="M47" s="441">
        <v>687714971.27999997</v>
      </c>
      <c r="N47" s="441">
        <v>4630854020.8249331</v>
      </c>
      <c r="O47" s="158"/>
    </row>
    <row r="48" spans="1:15" s="154" customFormat="1">
      <c r="A48" s="155"/>
      <c r="B48" s="440" t="s">
        <v>740</v>
      </c>
      <c r="C48" s="441">
        <v>2332499782.4400001</v>
      </c>
      <c r="D48" s="441">
        <v>1002731687.5446537</v>
      </c>
      <c r="E48" s="441">
        <v>543549782.88000011</v>
      </c>
      <c r="F48" s="441">
        <v>3878781252.8646531</v>
      </c>
      <c r="G48" s="158"/>
      <c r="I48" s="152"/>
      <c r="J48" s="156" t="s">
        <v>740</v>
      </c>
      <c r="K48" s="441">
        <v>2332499782.4400001</v>
      </c>
      <c r="L48" s="441">
        <v>1002731687.5446537</v>
      </c>
      <c r="M48" s="441">
        <v>543549782.88000011</v>
      </c>
      <c r="N48" s="441">
        <v>3878781252.8646531</v>
      </c>
      <c r="O48" s="158"/>
    </row>
    <row r="49" spans="1:15">
      <c r="A49" s="155">
        <v>11</v>
      </c>
      <c r="B49" s="156" t="s">
        <v>353</v>
      </c>
      <c r="C49" s="157">
        <v>1160105448</v>
      </c>
      <c r="D49" s="157">
        <v>644674324.74702108</v>
      </c>
      <c r="E49" s="157">
        <v>280494288</v>
      </c>
      <c r="F49" s="157">
        <v>2085274060.7470207</v>
      </c>
      <c r="G49" s="158"/>
      <c r="I49" s="155">
        <v>11</v>
      </c>
      <c r="J49" s="156" t="s">
        <v>353</v>
      </c>
      <c r="K49" s="157">
        <v>1160105</v>
      </c>
      <c r="L49" s="157">
        <v>644674</v>
      </c>
      <c r="M49" s="157">
        <v>280494</v>
      </c>
      <c r="N49" s="157">
        <f>SUM(K49:M49)</f>
        <v>2085273</v>
      </c>
      <c r="O49" s="158"/>
    </row>
    <row r="50" spans="1:15">
      <c r="A50" s="155">
        <v>12</v>
      </c>
      <c r="B50" s="156" t="s">
        <v>354</v>
      </c>
      <c r="C50" s="157">
        <v>587322660.48000002</v>
      </c>
      <c r="D50" s="157">
        <v>323839922.65304977</v>
      </c>
      <c r="E50" s="157">
        <v>141066620.16000003</v>
      </c>
      <c r="F50" s="157">
        <v>1052229203.2930498</v>
      </c>
      <c r="G50" s="158"/>
      <c r="I50" s="155">
        <v>12</v>
      </c>
      <c r="J50" s="156" t="s">
        <v>354</v>
      </c>
      <c r="K50" s="157">
        <v>587323</v>
      </c>
      <c r="L50" s="157">
        <v>323840</v>
      </c>
      <c r="M50" s="157">
        <v>141067</v>
      </c>
      <c r="N50" s="157">
        <f t="shared" ref="N50:N73" si="2">SUM(K50:M50)</f>
        <v>1052230</v>
      </c>
      <c r="O50" s="158"/>
    </row>
    <row r="51" spans="1:15">
      <c r="A51" s="155">
        <v>13</v>
      </c>
      <c r="B51" s="156" t="s">
        <v>355</v>
      </c>
      <c r="C51" s="157">
        <v>782915232.96000004</v>
      </c>
      <c r="D51" s="157">
        <v>398695230.18862873</v>
      </c>
      <c r="E51" s="157">
        <v>195224997.12</v>
      </c>
      <c r="F51" s="157">
        <v>1376835460.2686288</v>
      </c>
      <c r="G51" s="158"/>
      <c r="I51" s="155">
        <v>13</v>
      </c>
      <c r="J51" s="156" t="s">
        <v>355</v>
      </c>
      <c r="K51" s="157">
        <v>782915</v>
      </c>
      <c r="L51" s="157">
        <v>398695</v>
      </c>
      <c r="M51" s="157">
        <v>195225</v>
      </c>
      <c r="N51" s="157">
        <f t="shared" si="2"/>
        <v>1376835</v>
      </c>
      <c r="O51" s="158"/>
    </row>
    <row r="52" spans="1:15">
      <c r="A52" s="155">
        <v>14</v>
      </c>
      <c r="B52" s="156" t="s">
        <v>356</v>
      </c>
      <c r="C52" s="157">
        <v>1660627275.1200001</v>
      </c>
      <c r="D52" s="157">
        <v>852820524.24198854</v>
      </c>
      <c r="E52" s="157">
        <v>401112911.04000002</v>
      </c>
      <c r="F52" s="157">
        <v>2914560710.401989</v>
      </c>
      <c r="G52" s="158"/>
      <c r="I52" s="155">
        <v>14</v>
      </c>
      <c r="J52" s="156" t="s">
        <v>356</v>
      </c>
      <c r="K52" s="157">
        <v>1660627</v>
      </c>
      <c r="L52" s="157">
        <v>852821</v>
      </c>
      <c r="M52" s="157">
        <v>401113</v>
      </c>
      <c r="N52" s="157">
        <f t="shared" si="2"/>
        <v>2914561</v>
      </c>
      <c r="O52" s="158"/>
    </row>
    <row r="53" spans="1:15">
      <c r="A53" s="155">
        <v>15</v>
      </c>
      <c r="B53" s="156" t="s">
        <v>357</v>
      </c>
      <c r="C53" s="157">
        <v>70271850</v>
      </c>
      <c r="D53" s="157">
        <v>47366758.925906666</v>
      </c>
      <c r="E53" s="157">
        <v>16231464</v>
      </c>
      <c r="F53" s="157">
        <v>133870072.92590666</v>
      </c>
      <c r="G53" s="158"/>
      <c r="I53" s="155">
        <v>15</v>
      </c>
      <c r="J53" s="156" t="s">
        <v>358</v>
      </c>
      <c r="K53" s="157">
        <v>70272</v>
      </c>
      <c r="L53" s="157">
        <v>47367</v>
      </c>
      <c r="M53" s="157">
        <v>16231</v>
      </c>
      <c r="N53" s="157">
        <f t="shared" si="2"/>
        <v>133870</v>
      </c>
      <c r="O53" s="158"/>
    </row>
    <row r="54" spans="1:15">
      <c r="A54" s="155">
        <v>16</v>
      </c>
      <c r="B54" s="156" t="s">
        <v>359</v>
      </c>
      <c r="C54" s="157">
        <v>70271850</v>
      </c>
      <c r="D54" s="157">
        <v>47366758.925906666</v>
      </c>
      <c r="E54" s="157">
        <v>16231464</v>
      </c>
      <c r="F54" s="157">
        <v>133870072.92590666</v>
      </c>
      <c r="G54" s="158"/>
      <c r="I54" s="155">
        <v>16</v>
      </c>
      <c r="J54" s="156" t="s">
        <v>360</v>
      </c>
      <c r="K54" s="157">
        <v>70272</v>
      </c>
      <c r="L54" s="157">
        <v>47367</v>
      </c>
      <c r="M54" s="157">
        <v>16231</v>
      </c>
      <c r="N54" s="157">
        <f t="shared" si="2"/>
        <v>133870</v>
      </c>
      <c r="O54" s="158"/>
    </row>
    <row r="55" spans="1:15">
      <c r="A55" s="155">
        <v>17</v>
      </c>
      <c r="B55" s="156" t="s">
        <v>362</v>
      </c>
      <c r="C55" s="157">
        <v>6034242374.3400011</v>
      </c>
      <c r="D55" s="157">
        <v>3098158222.9159479</v>
      </c>
      <c r="E55" s="157">
        <v>1502990404.0799997</v>
      </c>
      <c r="F55" s="157">
        <v>10635391001.335947</v>
      </c>
      <c r="G55" s="158"/>
      <c r="I55" s="155">
        <v>17</v>
      </c>
      <c r="J55" s="156" t="s">
        <v>362</v>
      </c>
      <c r="K55" s="157">
        <v>6034242</v>
      </c>
      <c r="L55" s="157">
        <v>3098158</v>
      </c>
      <c r="M55" s="157">
        <v>1502990</v>
      </c>
      <c r="N55" s="157">
        <f t="shared" si="2"/>
        <v>10635390</v>
      </c>
      <c r="O55" s="158"/>
    </row>
    <row r="56" spans="1:15">
      <c r="A56" s="155">
        <v>18</v>
      </c>
      <c r="B56" s="156" t="s">
        <v>363</v>
      </c>
      <c r="C56" s="157">
        <v>815257860</v>
      </c>
      <c r="D56" s="157">
        <v>506267837.1720826</v>
      </c>
      <c r="E56" s="157">
        <v>184321344.00000003</v>
      </c>
      <c r="F56" s="157">
        <v>1505847041.1720827</v>
      </c>
      <c r="G56" s="158"/>
      <c r="I56" s="155">
        <v>18</v>
      </c>
      <c r="J56" s="156" t="s">
        <v>363</v>
      </c>
      <c r="K56" s="157">
        <v>815258</v>
      </c>
      <c r="L56" s="157">
        <v>506268</v>
      </c>
      <c r="M56" s="157">
        <v>184321</v>
      </c>
      <c r="N56" s="157">
        <f t="shared" si="2"/>
        <v>1505847</v>
      </c>
      <c r="O56" s="158"/>
    </row>
    <row r="57" spans="1:15">
      <c r="A57" s="155">
        <v>19</v>
      </c>
      <c r="B57" s="156" t="s">
        <v>365</v>
      </c>
      <c r="C57" s="157">
        <v>799932447.24000001</v>
      </c>
      <c r="D57" s="157">
        <v>493534232.29120004</v>
      </c>
      <c r="E57" s="157">
        <v>190688698.08000001</v>
      </c>
      <c r="F57" s="157">
        <v>1484155377.6111999</v>
      </c>
      <c r="G57" s="158"/>
      <c r="I57" s="155">
        <v>19</v>
      </c>
      <c r="J57" s="156" t="s">
        <v>365</v>
      </c>
      <c r="K57" s="157">
        <v>799932</v>
      </c>
      <c r="L57" s="157">
        <v>493534</v>
      </c>
      <c r="M57" s="157">
        <v>190689</v>
      </c>
      <c r="N57" s="157">
        <f t="shared" si="2"/>
        <v>1484155</v>
      </c>
      <c r="O57" s="158"/>
    </row>
    <row r="58" spans="1:15">
      <c r="A58" s="155">
        <v>20</v>
      </c>
      <c r="B58" s="156" t="s">
        <v>366</v>
      </c>
      <c r="C58" s="157">
        <v>996251152.79999995</v>
      </c>
      <c r="D58" s="157">
        <v>533313382.72997123</v>
      </c>
      <c r="E58" s="157">
        <v>238474857.60000002</v>
      </c>
      <c r="F58" s="157">
        <v>1768039393.129971</v>
      </c>
      <c r="G58" s="158"/>
      <c r="I58" s="155">
        <v>20</v>
      </c>
      <c r="J58" s="156" t="s">
        <v>366</v>
      </c>
      <c r="K58" s="157">
        <v>996251</v>
      </c>
      <c r="L58" s="157">
        <v>533313</v>
      </c>
      <c r="M58" s="157">
        <v>238475</v>
      </c>
      <c r="N58" s="157">
        <f t="shared" si="2"/>
        <v>1768039</v>
      </c>
      <c r="O58" s="158"/>
    </row>
    <row r="59" spans="1:15">
      <c r="A59" s="155">
        <v>21</v>
      </c>
      <c r="B59" s="156" t="s">
        <v>367</v>
      </c>
      <c r="C59" s="157">
        <v>909133321.91999996</v>
      </c>
      <c r="D59" s="157">
        <v>361087041.01764834</v>
      </c>
      <c r="E59" s="157">
        <v>222980192.63999999</v>
      </c>
      <c r="F59" s="157">
        <v>1493200555.5776484</v>
      </c>
      <c r="G59" s="158"/>
      <c r="I59" s="155">
        <v>21</v>
      </c>
      <c r="J59" s="156" t="s">
        <v>367</v>
      </c>
      <c r="K59" s="157">
        <v>909133</v>
      </c>
      <c r="L59" s="157">
        <v>361087</v>
      </c>
      <c r="M59" s="157">
        <v>222980</v>
      </c>
      <c r="N59" s="157">
        <f t="shared" si="2"/>
        <v>1493200</v>
      </c>
      <c r="O59" s="158"/>
    </row>
    <row r="60" spans="1:15">
      <c r="A60" s="155">
        <v>22</v>
      </c>
      <c r="B60" s="156" t="s">
        <v>368</v>
      </c>
      <c r="C60" s="157">
        <v>1365685983.48</v>
      </c>
      <c r="D60" s="157">
        <v>782750234.77966833</v>
      </c>
      <c r="E60" s="157">
        <v>332968726.56000006</v>
      </c>
      <c r="F60" s="157">
        <v>2481404944.8196678</v>
      </c>
      <c r="G60" s="158"/>
      <c r="I60" s="155">
        <v>22</v>
      </c>
      <c r="J60" s="156" t="s">
        <v>368</v>
      </c>
      <c r="K60" s="157">
        <v>1365686</v>
      </c>
      <c r="L60" s="157">
        <v>782750</v>
      </c>
      <c r="M60" s="157">
        <v>332969</v>
      </c>
      <c r="N60" s="157">
        <f t="shared" si="2"/>
        <v>2481405</v>
      </c>
      <c r="O60" s="158"/>
    </row>
    <row r="61" spans="1:15">
      <c r="A61" s="155">
        <v>23</v>
      </c>
      <c r="B61" s="156" t="s">
        <v>369</v>
      </c>
      <c r="C61" s="157">
        <v>1125861054</v>
      </c>
      <c r="D61" s="157">
        <v>657118231.94791448</v>
      </c>
      <c r="E61" s="157">
        <v>272652120</v>
      </c>
      <c r="F61" s="157">
        <v>2055631405.9479144</v>
      </c>
      <c r="G61" s="158"/>
      <c r="H61" s="159"/>
      <c r="I61" s="155">
        <v>23</v>
      </c>
      <c r="J61" s="156" t="s">
        <v>369</v>
      </c>
      <c r="K61" s="157">
        <v>1125861</v>
      </c>
      <c r="L61" s="157">
        <v>657118</v>
      </c>
      <c r="M61" s="157">
        <v>272652</v>
      </c>
      <c r="N61" s="157">
        <f t="shared" si="2"/>
        <v>2055631</v>
      </c>
      <c r="O61" s="158"/>
    </row>
    <row r="62" spans="1:15">
      <c r="A62" s="155">
        <v>24</v>
      </c>
      <c r="B62" s="156" t="s">
        <v>370</v>
      </c>
      <c r="C62" s="157">
        <v>2264401005.3600001</v>
      </c>
      <c r="D62" s="157">
        <v>1236157590.9164994</v>
      </c>
      <c r="E62" s="157">
        <v>555928249.92000008</v>
      </c>
      <c r="F62" s="157">
        <v>4056486846.1964993</v>
      </c>
      <c r="G62" s="158"/>
      <c r="I62" s="155">
        <v>24</v>
      </c>
      <c r="J62" s="156" t="s">
        <v>370</v>
      </c>
      <c r="K62" s="157">
        <v>2264401</v>
      </c>
      <c r="L62" s="157">
        <v>1236158</v>
      </c>
      <c r="M62" s="157">
        <v>555928</v>
      </c>
      <c r="N62" s="157">
        <f t="shared" si="2"/>
        <v>4056487</v>
      </c>
      <c r="O62" s="158"/>
    </row>
    <row r="63" spans="1:15">
      <c r="A63" s="155">
        <v>25</v>
      </c>
      <c r="B63" s="156" t="s">
        <v>371</v>
      </c>
      <c r="C63" s="157">
        <v>752111687.63999999</v>
      </c>
      <c r="D63" s="157">
        <v>345691910.7435227</v>
      </c>
      <c r="E63" s="157">
        <v>187734206.88000003</v>
      </c>
      <c r="F63" s="157">
        <v>1285537805.2635226</v>
      </c>
      <c r="G63" s="158"/>
      <c r="I63" s="155">
        <v>25</v>
      </c>
      <c r="J63" s="156" t="s">
        <v>371</v>
      </c>
      <c r="K63" s="157">
        <v>752112</v>
      </c>
      <c r="L63" s="157">
        <v>345692</v>
      </c>
      <c r="M63" s="157">
        <v>187734</v>
      </c>
      <c r="N63" s="157">
        <f t="shared" si="2"/>
        <v>1285538</v>
      </c>
      <c r="O63" s="158"/>
    </row>
    <row r="64" spans="1:15">
      <c r="A64" s="155">
        <v>26</v>
      </c>
      <c r="B64" s="156" t="s">
        <v>372</v>
      </c>
      <c r="C64" s="157">
        <v>639238656.60000002</v>
      </c>
      <c r="D64" s="157">
        <v>376580183.1224128</v>
      </c>
      <c r="E64" s="157">
        <v>150344695.20000002</v>
      </c>
      <c r="F64" s="157">
        <v>1166163534.9224129</v>
      </c>
      <c r="G64" s="158"/>
      <c r="I64" s="155">
        <v>26</v>
      </c>
      <c r="J64" s="156" t="s">
        <v>372</v>
      </c>
      <c r="K64" s="157">
        <v>639239</v>
      </c>
      <c r="L64" s="157">
        <v>376580</v>
      </c>
      <c r="M64" s="157">
        <v>150345</v>
      </c>
      <c r="N64" s="157">
        <f t="shared" si="2"/>
        <v>1166164</v>
      </c>
      <c r="O64" s="158"/>
    </row>
    <row r="65" spans="1:19">
      <c r="A65" s="155">
        <v>27</v>
      </c>
      <c r="B65" s="156" t="s">
        <v>373</v>
      </c>
      <c r="C65" s="157">
        <v>1237931499.3600001</v>
      </c>
      <c r="D65" s="157">
        <v>671527169.58370054</v>
      </c>
      <c r="E65" s="157">
        <v>302607985.92000002</v>
      </c>
      <c r="F65" s="157">
        <v>2212066654.8637004</v>
      </c>
      <c r="G65" s="158"/>
      <c r="I65" s="155">
        <v>27</v>
      </c>
      <c r="J65" s="156" t="s">
        <v>373</v>
      </c>
      <c r="K65" s="157">
        <v>1237931</v>
      </c>
      <c r="L65" s="157">
        <v>671527</v>
      </c>
      <c r="M65" s="157">
        <v>302608</v>
      </c>
      <c r="N65" s="157">
        <f t="shared" si="2"/>
        <v>2212066</v>
      </c>
      <c r="O65" s="158"/>
    </row>
    <row r="66" spans="1:19">
      <c r="A66" s="155">
        <v>28</v>
      </c>
      <c r="B66" s="156" t="s">
        <v>374</v>
      </c>
      <c r="C66" s="157">
        <v>710062926</v>
      </c>
      <c r="D66" s="157">
        <v>427636334.07974142</v>
      </c>
      <c r="E66" s="157">
        <v>171858984.00000003</v>
      </c>
      <c r="F66" s="157">
        <v>1309558244.0797415</v>
      </c>
      <c r="G66" s="158"/>
      <c r="I66" s="155">
        <v>28</v>
      </c>
      <c r="J66" s="156" t="s">
        <v>374</v>
      </c>
      <c r="K66" s="157">
        <v>710063</v>
      </c>
      <c r="L66" s="157">
        <v>427636</v>
      </c>
      <c r="M66" s="157">
        <v>171859</v>
      </c>
      <c r="N66" s="157">
        <f t="shared" si="2"/>
        <v>1309558</v>
      </c>
      <c r="O66" s="158"/>
    </row>
    <row r="67" spans="1:19">
      <c r="A67" s="155">
        <v>29</v>
      </c>
      <c r="B67" s="156" t="s">
        <v>375</v>
      </c>
      <c r="C67" s="157">
        <v>1024572521.76</v>
      </c>
      <c r="D67" s="157">
        <v>594323393.79806113</v>
      </c>
      <c r="E67" s="157">
        <v>269172385.92000008</v>
      </c>
      <c r="F67" s="157">
        <v>1888068301.478061</v>
      </c>
      <c r="G67" s="158"/>
      <c r="I67" s="155">
        <v>29</v>
      </c>
      <c r="J67" s="156" t="s">
        <v>375</v>
      </c>
      <c r="K67" s="157">
        <v>1024573</v>
      </c>
      <c r="L67" s="157">
        <v>594323</v>
      </c>
      <c r="M67" s="157">
        <v>269172</v>
      </c>
      <c r="N67" s="157">
        <f t="shared" si="2"/>
        <v>1888068</v>
      </c>
      <c r="O67" s="158"/>
    </row>
    <row r="68" spans="1:19">
      <c r="A68" s="155">
        <v>30</v>
      </c>
      <c r="B68" s="156" t="s">
        <v>376</v>
      </c>
      <c r="C68" s="157">
        <v>863653191.53999996</v>
      </c>
      <c r="D68" s="157">
        <v>382136524.51410919</v>
      </c>
      <c r="E68" s="157">
        <v>213883885.68000001</v>
      </c>
      <c r="F68" s="157">
        <v>1459673601.7341094</v>
      </c>
      <c r="G68" s="158"/>
      <c r="I68" s="155">
        <v>30</v>
      </c>
      <c r="J68" s="156" t="s">
        <v>376</v>
      </c>
      <c r="K68" s="157">
        <v>863653</v>
      </c>
      <c r="L68" s="157">
        <v>382137</v>
      </c>
      <c r="M68" s="157">
        <v>213884</v>
      </c>
      <c r="N68" s="157">
        <f t="shared" si="2"/>
        <v>1459674</v>
      </c>
      <c r="O68" s="158"/>
    </row>
    <row r="69" spans="1:19">
      <c r="A69" s="155">
        <v>31</v>
      </c>
      <c r="B69" s="156" t="s">
        <v>377</v>
      </c>
      <c r="C69" s="157">
        <v>1363504123.9200001</v>
      </c>
      <c r="D69" s="157">
        <v>843038291.12715137</v>
      </c>
      <c r="E69" s="157">
        <v>322058994.24000001</v>
      </c>
      <c r="F69" s="157">
        <v>2528601409.2871518</v>
      </c>
      <c r="G69" s="158"/>
      <c r="I69" s="155">
        <v>31</v>
      </c>
      <c r="J69" s="156" t="s">
        <v>377</v>
      </c>
      <c r="K69" s="157">
        <v>1363504</v>
      </c>
      <c r="L69" s="157">
        <v>843038</v>
      </c>
      <c r="M69" s="157">
        <v>322059</v>
      </c>
      <c r="N69" s="157">
        <f t="shared" si="2"/>
        <v>2528601</v>
      </c>
      <c r="O69" s="158"/>
    </row>
    <row r="70" spans="1:19">
      <c r="A70" s="155">
        <v>32</v>
      </c>
      <c r="B70" s="156" t="s">
        <v>378</v>
      </c>
      <c r="C70" s="157">
        <v>2228082342</v>
      </c>
      <c r="D70" s="157">
        <v>1269150881.0557177</v>
      </c>
      <c r="E70" s="157">
        <v>536124648.00000006</v>
      </c>
      <c r="F70" s="157">
        <v>4033357871.0557179</v>
      </c>
      <c r="G70" s="158"/>
      <c r="I70" s="155">
        <v>32</v>
      </c>
      <c r="J70" s="156" t="s">
        <v>378</v>
      </c>
      <c r="K70" s="157">
        <v>2228082</v>
      </c>
      <c r="L70" s="157">
        <v>1269151</v>
      </c>
      <c r="M70" s="157">
        <v>536125</v>
      </c>
      <c r="N70" s="157">
        <f t="shared" si="2"/>
        <v>4033358</v>
      </c>
      <c r="O70" s="158"/>
    </row>
    <row r="71" spans="1:19">
      <c r="A71" s="155">
        <v>33</v>
      </c>
      <c r="B71" s="156" t="s">
        <v>379</v>
      </c>
      <c r="C71" s="157">
        <v>2747011941.2399998</v>
      </c>
      <c r="D71" s="157">
        <v>1475510964.9948292</v>
      </c>
      <c r="E71" s="157">
        <v>659188325.27999997</v>
      </c>
      <c r="F71" s="157">
        <v>4881711231.5148296</v>
      </c>
      <c r="G71" s="158"/>
      <c r="I71" s="155">
        <v>33</v>
      </c>
      <c r="J71" s="156" t="s">
        <v>379</v>
      </c>
      <c r="K71" s="157">
        <v>2747012</v>
      </c>
      <c r="L71" s="157">
        <v>1475511</v>
      </c>
      <c r="M71" s="157">
        <v>659188</v>
      </c>
      <c r="N71" s="157">
        <f t="shared" si="2"/>
        <v>4881711</v>
      </c>
      <c r="O71" s="158"/>
    </row>
    <row r="72" spans="1:19" s="154" customFormat="1">
      <c r="A72" s="155">
        <v>34</v>
      </c>
      <c r="B72" s="156" t="s">
        <v>388</v>
      </c>
      <c r="C72" s="157">
        <v>153465576</v>
      </c>
      <c r="D72" s="157">
        <v>97202148.870673329</v>
      </c>
      <c r="E72" s="157">
        <v>36475200</v>
      </c>
      <c r="F72" s="157">
        <v>287142924.8706733</v>
      </c>
      <c r="G72" s="158"/>
      <c r="I72" s="155">
        <v>34</v>
      </c>
      <c r="J72" s="156" t="s">
        <v>388</v>
      </c>
      <c r="K72" s="157">
        <v>153466</v>
      </c>
      <c r="L72" s="157">
        <v>97202</v>
      </c>
      <c r="M72" s="157">
        <v>36475</v>
      </c>
      <c r="N72" s="157">
        <f t="shared" si="2"/>
        <v>287143</v>
      </c>
      <c r="O72" s="158"/>
      <c r="Q72" s="149"/>
      <c r="R72" s="149"/>
      <c r="S72" s="149"/>
    </row>
    <row r="73" spans="1:19">
      <c r="A73" s="155">
        <v>35</v>
      </c>
      <c r="B73" s="156" t="s">
        <v>389</v>
      </c>
      <c r="C73" s="160">
        <v>525341070</v>
      </c>
      <c r="D73" s="160">
        <v>239042501.45737901</v>
      </c>
      <c r="E73" s="160">
        <v>126629736.00000001</v>
      </c>
      <c r="F73" s="160">
        <v>891013307.45737898</v>
      </c>
      <c r="G73" s="158"/>
      <c r="I73" s="155">
        <v>35</v>
      </c>
      <c r="J73" s="156" t="s">
        <v>389</v>
      </c>
      <c r="K73" s="160">
        <v>525341</v>
      </c>
      <c r="L73" s="160">
        <v>239043</v>
      </c>
      <c r="M73" s="160">
        <v>126630</v>
      </c>
      <c r="N73" s="157">
        <f t="shared" si="2"/>
        <v>891014</v>
      </c>
      <c r="O73" s="158"/>
    </row>
    <row r="74" spans="1:19">
      <c r="A74" s="161"/>
      <c r="B74" s="161" t="s">
        <v>390</v>
      </c>
      <c r="C74" s="162">
        <f>SUM(C49:C72)</f>
        <v>30361913981.759995</v>
      </c>
      <c r="D74" s="162">
        <f>SUM(D49:D72)</f>
        <v>16465948095.343353</v>
      </c>
      <c r="E74" s="162">
        <f>SUM(E49:E72)</f>
        <v>7400815648.3199987</v>
      </c>
      <c r="F74" s="162">
        <f>SUM(F49:F73)</f>
        <v>55119691032.880737</v>
      </c>
      <c r="G74" s="163"/>
      <c r="I74" s="161"/>
      <c r="J74" s="161" t="s">
        <v>390</v>
      </c>
      <c r="K74" s="162">
        <f>SUM(K49:K72)</f>
        <v>30361913</v>
      </c>
      <c r="L74" s="162">
        <f>SUM(L49:L72)</f>
        <v>16465947</v>
      </c>
      <c r="M74" s="162">
        <f>SUM(M49:M72)</f>
        <v>7400814</v>
      </c>
      <c r="N74" s="162">
        <f>SUM(N49:N73)</f>
        <v>55119688</v>
      </c>
      <c r="O74" s="163"/>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87"/>
  <sheetViews>
    <sheetView topLeftCell="A67" workbookViewId="0">
      <selection activeCell="N80" sqref="N80"/>
    </sheetView>
  </sheetViews>
  <sheetFormatPr defaultColWidth="8.9140625" defaultRowHeight="14"/>
  <cols>
    <col min="1" max="1" width="4.9140625" customWidth="1"/>
    <col min="2" max="2" width="27.4140625" customWidth="1"/>
    <col min="3" max="12" width="8.08203125" customWidth="1"/>
  </cols>
  <sheetData>
    <row r="1" spans="1:12">
      <c r="A1" s="1317" t="s">
        <v>0</v>
      </c>
      <c r="B1" s="1317"/>
      <c r="C1" s="1317"/>
      <c r="D1" s="1"/>
      <c r="E1" s="1"/>
      <c r="F1" s="1"/>
      <c r="G1" s="1"/>
      <c r="H1" s="1"/>
      <c r="I1" s="1"/>
      <c r="J1" s="1"/>
      <c r="K1" s="1316" t="s">
        <v>1</v>
      </c>
      <c r="L1" s="1316"/>
    </row>
    <row r="2" spans="1:12">
      <c r="A2" s="1302" t="s">
        <v>1363</v>
      </c>
      <c r="B2" s="1302"/>
      <c r="C2" s="1302"/>
      <c r="D2" s="1"/>
      <c r="E2" s="1"/>
      <c r="F2" s="1"/>
      <c r="G2" s="1"/>
      <c r="H2" s="1"/>
      <c r="I2" s="1"/>
      <c r="J2" s="1"/>
      <c r="K2" s="2"/>
      <c r="L2" s="2"/>
    </row>
    <row r="3" spans="1:12">
      <c r="A3" s="1302" t="s">
        <v>66</v>
      </c>
      <c r="B3" s="1302"/>
      <c r="C3" s="1302"/>
      <c r="D3" s="1302"/>
      <c r="E3" s="1302"/>
      <c r="F3" s="1302"/>
      <c r="G3" s="1302"/>
      <c r="H3" s="1302"/>
      <c r="I3" s="1302"/>
      <c r="J3" s="1302"/>
      <c r="K3" s="1302"/>
      <c r="L3" s="1302"/>
    </row>
    <row r="4" spans="1:12" ht="14.5" thickBot="1">
      <c r="A4" s="3"/>
      <c r="B4" s="3"/>
      <c r="C4" s="3"/>
      <c r="D4" s="3"/>
      <c r="E4" s="3"/>
      <c r="F4" s="3"/>
      <c r="G4" s="3"/>
      <c r="H4" s="3"/>
      <c r="I4" s="3"/>
      <c r="J4" s="3"/>
      <c r="K4" s="3"/>
      <c r="L4" s="4" t="s">
        <v>4</v>
      </c>
    </row>
    <row r="5" spans="1:12" ht="45" customHeight="1">
      <c r="A5" s="1028" t="s">
        <v>5</v>
      </c>
      <c r="B5" s="1029" t="s">
        <v>6</v>
      </c>
      <c r="C5" s="1029" t="s">
        <v>7</v>
      </c>
      <c r="D5" s="1029" t="s">
        <v>8</v>
      </c>
      <c r="E5" s="1029" t="s">
        <v>9</v>
      </c>
      <c r="F5" s="1029" t="s">
        <v>10</v>
      </c>
      <c r="G5" s="1029" t="s">
        <v>11</v>
      </c>
      <c r="H5" s="1029" t="s">
        <v>12</v>
      </c>
      <c r="I5" s="1029" t="s">
        <v>13</v>
      </c>
      <c r="J5" s="1029" t="s">
        <v>14</v>
      </c>
      <c r="K5" s="1029" t="s">
        <v>15</v>
      </c>
      <c r="L5" s="1030" t="s">
        <v>16</v>
      </c>
    </row>
    <row r="6" spans="1:12">
      <c r="A6" s="1011" t="s">
        <v>17</v>
      </c>
      <c r="B6" s="1031" t="s">
        <v>18</v>
      </c>
      <c r="C6" s="1032"/>
      <c r="D6" s="1032"/>
      <c r="E6" s="1032"/>
      <c r="F6" s="1032"/>
      <c r="G6" s="1032"/>
      <c r="H6" s="1032"/>
      <c r="I6" s="1032"/>
      <c r="J6" s="1032"/>
      <c r="K6" s="1033"/>
      <c r="L6" s="1034"/>
    </row>
    <row r="7" spans="1:12">
      <c r="A7" s="1035" t="s">
        <v>19</v>
      </c>
      <c r="B7" s="1036" t="s">
        <v>67</v>
      </c>
      <c r="C7" s="1037"/>
      <c r="D7" s="1038"/>
      <c r="E7" s="1038"/>
      <c r="F7" s="1038"/>
      <c r="G7" s="1038"/>
      <c r="H7" s="1038"/>
      <c r="I7" s="1038"/>
      <c r="J7" s="1038"/>
      <c r="K7" s="1033"/>
      <c r="L7" s="1039"/>
    </row>
    <row r="8" spans="1:12" ht="81">
      <c r="A8" s="1040" t="s">
        <v>21</v>
      </c>
      <c r="B8" s="1041" t="s">
        <v>22</v>
      </c>
      <c r="C8" s="1037" t="s">
        <v>23</v>
      </c>
      <c r="D8" s="1042">
        <f>SUM(D9:D13)</f>
        <v>0</v>
      </c>
      <c r="E8" s="1042">
        <f t="shared" ref="E8:I8" si="0">SUM(E9:E13)</f>
        <v>0</v>
      </c>
      <c r="F8" s="1042">
        <f t="shared" si="0"/>
        <v>3247</v>
      </c>
      <c r="G8" s="1042">
        <f t="shared" si="0"/>
        <v>0</v>
      </c>
      <c r="H8" s="1042">
        <f t="shared" si="0"/>
        <v>0</v>
      </c>
      <c r="I8" s="1042">
        <f t="shared" si="0"/>
        <v>0</v>
      </c>
      <c r="J8" s="1042">
        <f>SUM(J9:J14)</f>
        <v>210</v>
      </c>
      <c r="K8" s="1042">
        <f t="shared" ref="K8:K30" si="1">SUM(D8:J8)</f>
        <v>3457</v>
      </c>
      <c r="L8" s="1039"/>
    </row>
    <row r="9" spans="1:12">
      <c r="A9" s="1040"/>
      <c r="B9" s="711" t="s">
        <v>24</v>
      </c>
      <c r="C9" s="1037" t="s">
        <v>23</v>
      </c>
      <c r="D9" s="1042"/>
      <c r="E9" s="1042"/>
      <c r="F9" s="1042">
        <v>118</v>
      </c>
      <c r="G9" s="1042"/>
      <c r="H9" s="1042"/>
      <c r="I9" s="1042"/>
      <c r="J9" s="1042">
        <v>0</v>
      </c>
      <c r="K9" s="1042">
        <f t="shared" si="1"/>
        <v>118</v>
      </c>
      <c r="L9" s="1039"/>
    </row>
    <row r="10" spans="1:12">
      <c r="A10" s="1040"/>
      <c r="B10" s="711" t="s">
        <v>25</v>
      </c>
      <c r="C10" s="1037" t="s">
        <v>23</v>
      </c>
      <c r="D10" s="1042"/>
      <c r="E10" s="1042"/>
      <c r="F10" s="1042">
        <v>0</v>
      </c>
      <c r="G10" s="1042"/>
      <c r="H10" s="1042"/>
      <c r="I10" s="1042"/>
      <c r="J10" s="1042">
        <v>0</v>
      </c>
      <c r="K10" s="1042">
        <f t="shared" si="1"/>
        <v>0</v>
      </c>
      <c r="L10" s="1039"/>
    </row>
    <row r="11" spans="1:12">
      <c r="A11" s="1040"/>
      <c r="B11" s="711" t="s">
        <v>37</v>
      </c>
      <c r="C11" s="1037" t="s">
        <v>23</v>
      </c>
      <c r="D11" s="1042"/>
      <c r="E11" s="1042"/>
      <c r="F11" s="1042">
        <v>782</v>
      </c>
      <c r="G11" s="1042"/>
      <c r="H11" s="1042"/>
      <c r="I11" s="1042"/>
      <c r="J11" s="1042">
        <v>53</v>
      </c>
      <c r="K11" s="1042">
        <f t="shared" si="1"/>
        <v>835</v>
      </c>
      <c r="L11" s="1039"/>
    </row>
    <row r="12" spans="1:12">
      <c r="A12" s="1040"/>
      <c r="B12" s="711" t="s">
        <v>38</v>
      </c>
      <c r="C12" s="1037" t="s">
        <v>23</v>
      </c>
      <c r="D12" s="1042"/>
      <c r="E12" s="1042"/>
      <c r="F12" s="1042">
        <v>1078</v>
      </c>
      <c r="G12" s="1042"/>
      <c r="H12" s="1042"/>
      <c r="I12" s="1042"/>
      <c r="J12" s="1042">
        <v>28</v>
      </c>
      <c r="K12" s="1042">
        <f t="shared" si="1"/>
        <v>1106</v>
      </c>
      <c r="L12" s="1039"/>
    </row>
    <row r="13" spans="1:12">
      <c r="A13" s="1040"/>
      <c r="B13" s="711" t="s">
        <v>39</v>
      </c>
      <c r="C13" s="1037" t="s">
        <v>23</v>
      </c>
      <c r="D13" s="1042"/>
      <c r="E13" s="1042"/>
      <c r="F13" s="1042">
        <v>1269</v>
      </c>
      <c r="G13" s="1042"/>
      <c r="H13" s="1042"/>
      <c r="I13" s="1042"/>
      <c r="J13" s="1042">
        <v>54</v>
      </c>
      <c r="K13" s="1042">
        <f t="shared" si="1"/>
        <v>1323</v>
      </c>
      <c r="L13" s="1039"/>
    </row>
    <row r="14" spans="1:12">
      <c r="A14" s="1040"/>
      <c r="B14" s="711" t="s">
        <v>40</v>
      </c>
      <c r="C14" s="1037"/>
      <c r="D14" s="1042"/>
      <c r="E14" s="1042"/>
      <c r="F14" s="1042">
        <v>695</v>
      </c>
      <c r="G14" s="1042"/>
      <c r="H14" s="1042"/>
      <c r="I14" s="1042"/>
      <c r="J14" s="1042">
        <v>75</v>
      </c>
      <c r="K14" s="1042"/>
      <c r="L14" s="1039"/>
    </row>
    <row r="15" spans="1:12" ht="54">
      <c r="A15" s="1043" t="s">
        <v>30</v>
      </c>
      <c r="B15" s="1041" t="s">
        <v>31</v>
      </c>
      <c r="C15" s="1037"/>
      <c r="D15" s="1042">
        <f>SUM(D16:D20)</f>
        <v>0</v>
      </c>
      <c r="E15" s="1042">
        <f t="shared" ref="E15" si="2">SUM(E16:E20)</f>
        <v>0</v>
      </c>
      <c r="F15" s="1042">
        <f>SUM(F16:F21)</f>
        <v>1978</v>
      </c>
      <c r="G15" s="1042">
        <f t="shared" ref="G15:I15" si="3">SUM(G16:G20)</f>
        <v>0</v>
      </c>
      <c r="H15" s="1042">
        <f t="shared" si="3"/>
        <v>0</v>
      </c>
      <c r="I15" s="1042">
        <f t="shared" si="3"/>
        <v>0</v>
      </c>
      <c r="J15" s="1042">
        <f>SUM(J16:J21)</f>
        <v>81</v>
      </c>
      <c r="K15" s="1042">
        <f t="shared" si="1"/>
        <v>2059</v>
      </c>
      <c r="L15" s="1039"/>
    </row>
    <row r="16" spans="1:12">
      <c r="A16" s="1040"/>
      <c r="B16" s="711" t="s">
        <v>24</v>
      </c>
      <c r="C16" s="1037" t="s">
        <v>23</v>
      </c>
      <c r="D16" s="1042"/>
      <c r="E16" s="1042"/>
      <c r="F16" s="1042">
        <v>118</v>
      </c>
      <c r="G16" s="1042"/>
      <c r="H16" s="1042"/>
      <c r="I16" s="1042"/>
      <c r="J16" s="1042">
        <v>0</v>
      </c>
      <c r="K16" s="1042">
        <f t="shared" si="1"/>
        <v>118</v>
      </c>
      <c r="L16" s="1039"/>
    </row>
    <row r="17" spans="1:12">
      <c r="A17" s="1040"/>
      <c r="B17" s="711" t="s">
        <v>25</v>
      </c>
      <c r="C17" s="1037" t="s">
        <v>23</v>
      </c>
      <c r="D17" s="1042"/>
      <c r="E17" s="1042"/>
      <c r="F17" s="1042">
        <v>0</v>
      </c>
      <c r="G17" s="1042"/>
      <c r="H17" s="1042"/>
      <c r="I17" s="1042"/>
      <c r="J17" s="1042">
        <v>0</v>
      </c>
      <c r="K17" s="1042">
        <f t="shared" si="1"/>
        <v>0</v>
      </c>
      <c r="L17" s="1039"/>
    </row>
    <row r="18" spans="1:12">
      <c r="A18" s="1040"/>
      <c r="B18" s="711" t="s">
        <v>37</v>
      </c>
      <c r="C18" s="1037" t="s">
        <v>23</v>
      </c>
      <c r="D18" s="1042"/>
      <c r="E18" s="1042"/>
      <c r="F18" s="1042">
        <v>782</v>
      </c>
      <c r="G18" s="1042"/>
      <c r="H18" s="1042"/>
      <c r="I18" s="1042"/>
      <c r="J18" s="1042">
        <v>53</v>
      </c>
      <c r="K18" s="1042">
        <f t="shared" si="1"/>
        <v>835</v>
      </c>
      <c r="L18" s="1039"/>
    </row>
    <row r="19" spans="1:12">
      <c r="A19" s="1040"/>
      <c r="B19" s="711" t="s">
        <v>38</v>
      </c>
      <c r="C19" s="1037" t="s">
        <v>23</v>
      </c>
      <c r="D19" s="1042"/>
      <c r="E19" s="1042"/>
      <c r="F19" s="1042">
        <v>1078</v>
      </c>
      <c r="G19" s="1042"/>
      <c r="H19" s="1042"/>
      <c r="I19" s="1042"/>
      <c r="J19" s="1042">
        <v>28</v>
      </c>
      <c r="K19" s="1042">
        <f t="shared" si="1"/>
        <v>1106</v>
      </c>
      <c r="L19" s="1039"/>
    </row>
    <row r="20" spans="1:12">
      <c r="A20" s="1040"/>
      <c r="B20" s="711" t="s">
        <v>39</v>
      </c>
      <c r="C20" s="1037" t="s">
        <v>23</v>
      </c>
      <c r="D20" s="1042"/>
      <c r="E20" s="1042"/>
      <c r="F20" s="1042">
        <v>0</v>
      </c>
      <c r="G20" s="1042"/>
      <c r="H20" s="1042"/>
      <c r="I20" s="1042"/>
      <c r="J20" s="1042">
        <v>0</v>
      </c>
      <c r="K20" s="1042">
        <f t="shared" si="1"/>
        <v>0</v>
      </c>
      <c r="L20" s="1039"/>
    </row>
    <row r="21" spans="1:12">
      <c r="A21" s="1040"/>
      <c r="B21" s="711" t="s">
        <v>40</v>
      </c>
      <c r="C21" s="1037"/>
      <c r="D21" s="1042"/>
      <c r="E21" s="1042"/>
      <c r="F21" s="1042">
        <v>0</v>
      </c>
      <c r="G21" s="1042"/>
      <c r="H21" s="1042"/>
      <c r="I21" s="1042"/>
      <c r="J21" s="1042"/>
      <c r="K21" s="1042"/>
      <c r="L21" s="1039"/>
    </row>
    <row r="22" spans="1:12" ht="54">
      <c r="A22" s="1043" t="s">
        <v>32</v>
      </c>
      <c r="B22" s="1044" t="s">
        <v>33</v>
      </c>
      <c r="C22" s="1037" t="s">
        <v>23</v>
      </c>
      <c r="D22" s="1042"/>
      <c r="E22" s="1042"/>
      <c r="F22" s="1042"/>
      <c r="G22" s="1042"/>
      <c r="H22" s="1042"/>
      <c r="I22" s="1042"/>
      <c r="J22" s="1042"/>
      <c r="K22" s="1042">
        <f t="shared" si="1"/>
        <v>0</v>
      </c>
      <c r="L22" s="1039"/>
    </row>
    <row r="23" spans="1:12">
      <c r="A23" s="1043"/>
      <c r="B23" s="711" t="s">
        <v>743</v>
      </c>
      <c r="C23" s="1037"/>
      <c r="D23" s="1042"/>
      <c r="E23" s="1042"/>
      <c r="F23" s="1042">
        <v>550</v>
      </c>
      <c r="G23" s="1042"/>
      <c r="H23" s="1042"/>
      <c r="I23" s="1042"/>
      <c r="J23" s="1042">
        <v>130</v>
      </c>
      <c r="K23" s="1042">
        <f t="shared" si="1"/>
        <v>680</v>
      </c>
      <c r="L23" s="1039"/>
    </row>
    <row r="24" spans="1:12" ht="67.5">
      <c r="A24" s="1043" t="s">
        <v>35</v>
      </c>
      <c r="B24" s="1041" t="s">
        <v>36</v>
      </c>
      <c r="C24" s="1045" t="s">
        <v>23</v>
      </c>
      <c r="D24" s="1046">
        <f>SUM(D25:D30)</f>
        <v>0</v>
      </c>
      <c r="E24" s="1046">
        <f t="shared" ref="E24" si="4">SUM(E25:E30)</f>
        <v>0</v>
      </c>
      <c r="F24" s="1046">
        <f>SUM(F25:F31)</f>
        <v>2514</v>
      </c>
      <c r="G24" s="1046">
        <f t="shared" ref="G24:I24" si="5">SUM(G25:G30)</f>
        <v>0</v>
      </c>
      <c r="H24" s="1046">
        <f t="shared" si="5"/>
        <v>0</v>
      </c>
      <c r="I24" s="1046">
        <f t="shared" si="5"/>
        <v>0</v>
      </c>
      <c r="J24" s="1046">
        <f>SUM(J25:J31)</f>
        <v>184</v>
      </c>
      <c r="K24" s="1046">
        <f t="shared" si="1"/>
        <v>2698</v>
      </c>
      <c r="L24" s="1047"/>
    </row>
    <row r="25" spans="1:12">
      <c r="A25" s="1040"/>
      <c r="B25" s="711" t="s">
        <v>24</v>
      </c>
      <c r="C25" s="1037" t="s">
        <v>23</v>
      </c>
      <c r="D25" s="1042"/>
      <c r="E25" s="1042"/>
      <c r="F25" s="1042"/>
      <c r="G25" s="1042"/>
      <c r="H25" s="1042"/>
      <c r="I25" s="1042"/>
      <c r="J25" s="1042"/>
      <c r="K25" s="1042"/>
      <c r="L25" s="1039"/>
    </row>
    <row r="26" spans="1:12">
      <c r="A26" s="1040"/>
      <c r="B26" s="711" t="s">
        <v>25</v>
      </c>
      <c r="C26" s="1037" t="s">
        <v>23</v>
      </c>
      <c r="D26" s="1042"/>
      <c r="E26" s="1042"/>
      <c r="F26" s="1042"/>
      <c r="G26" s="1042"/>
      <c r="H26" s="1042"/>
      <c r="I26" s="1042"/>
      <c r="J26" s="1042"/>
      <c r="K26" s="1042"/>
      <c r="L26" s="1039"/>
    </row>
    <row r="27" spans="1:12">
      <c r="A27" s="1040"/>
      <c r="B27" s="711" t="s">
        <v>37</v>
      </c>
      <c r="C27" s="1037" t="s">
        <v>23</v>
      </c>
      <c r="D27" s="1042"/>
      <c r="E27" s="1042"/>
      <c r="F27" s="1042"/>
      <c r="G27" s="1042"/>
      <c r="H27" s="1042"/>
      <c r="I27" s="1042"/>
      <c r="J27" s="1042"/>
      <c r="K27" s="1042"/>
      <c r="L27" s="1039"/>
    </row>
    <row r="28" spans="1:12">
      <c r="A28" s="1040"/>
      <c r="B28" s="711" t="s">
        <v>38</v>
      </c>
      <c r="C28" s="1037" t="s">
        <v>23</v>
      </c>
      <c r="D28" s="1042"/>
      <c r="E28" s="1042"/>
      <c r="F28" s="1042"/>
      <c r="G28" s="1042"/>
      <c r="H28" s="1042"/>
      <c r="I28" s="1042"/>
      <c r="J28" s="1042"/>
      <c r="K28" s="1042"/>
      <c r="L28" s="1039"/>
    </row>
    <row r="29" spans="1:12" s="281" customFormat="1" ht="36.65" customHeight="1">
      <c r="A29" s="1040"/>
      <c r="B29" s="711" t="s">
        <v>39</v>
      </c>
      <c r="C29" s="1037" t="s">
        <v>23</v>
      </c>
      <c r="D29" s="1042"/>
      <c r="E29" s="1042"/>
      <c r="F29" s="1042">
        <f t="shared" ref="F29:J29" si="6">+F13-F20</f>
        <v>1269</v>
      </c>
      <c r="G29" s="1042"/>
      <c r="H29" s="1042"/>
      <c r="I29" s="1042"/>
      <c r="J29" s="1042">
        <f t="shared" si="6"/>
        <v>54</v>
      </c>
      <c r="K29" s="1042">
        <f t="shared" si="1"/>
        <v>1323</v>
      </c>
      <c r="L29" s="1039"/>
    </row>
    <row r="30" spans="1:12">
      <c r="A30" s="1040"/>
      <c r="B30" s="711" t="s">
        <v>40</v>
      </c>
      <c r="C30" s="1037" t="s">
        <v>23</v>
      </c>
      <c r="D30" s="1042"/>
      <c r="E30" s="1042"/>
      <c r="F30" s="1042">
        <f t="shared" ref="F30:J30" si="7">+F23</f>
        <v>550</v>
      </c>
      <c r="G30" s="1042"/>
      <c r="H30" s="1042"/>
      <c r="I30" s="1042"/>
      <c r="J30" s="1042">
        <f t="shared" si="7"/>
        <v>130</v>
      </c>
      <c r="K30" s="1042">
        <f t="shared" si="1"/>
        <v>680</v>
      </c>
      <c r="L30" s="1039"/>
    </row>
    <row r="31" spans="1:12">
      <c r="A31" s="1040"/>
      <c r="B31" s="711" t="s">
        <v>743</v>
      </c>
      <c r="C31" s="1037"/>
      <c r="D31" s="1042"/>
      <c r="E31" s="1042"/>
      <c r="F31" s="1042">
        <v>695</v>
      </c>
      <c r="G31" s="1042"/>
      <c r="H31" s="1042"/>
      <c r="I31" s="1042"/>
      <c r="J31" s="1042"/>
      <c r="K31" s="1042"/>
      <c r="L31" s="1039"/>
    </row>
    <row r="32" spans="1:12" ht="26">
      <c r="A32" s="1048"/>
      <c r="B32" s="550" t="s">
        <v>615</v>
      </c>
      <c r="C32" s="1049"/>
      <c r="D32" s="1050"/>
      <c r="E32" s="1050"/>
      <c r="F32" s="1050"/>
      <c r="G32" s="1050"/>
      <c r="H32" s="1050"/>
      <c r="I32" s="1050"/>
      <c r="J32" s="1050"/>
      <c r="K32" s="1050"/>
      <c r="L32" s="1051"/>
    </row>
    <row r="33" spans="1:12" ht="81">
      <c r="A33" s="1040" t="s">
        <v>21</v>
      </c>
      <c r="B33" s="1041" t="s">
        <v>22</v>
      </c>
      <c r="C33" s="1037" t="s">
        <v>23</v>
      </c>
      <c r="D33" s="1042">
        <f>SUM(D34:D38)</f>
        <v>0</v>
      </c>
      <c r="E33" s="1042">
        <f t="shared" ref="E33:J33" si="8">SUM(E34:E38)</f>
        <v>0</v>
      </c>
      <c r="F33" s="1042">
        <f t="shared" si="8"/>
        <v>0</v>
      </c>
      <c r="G33" s="1042">
        <f t="shared" si="8"/>
        <v>0</v>
      </c>
      <c r="H33" s="1042">
        <f t="shared" si="8"/>
        <v>0</v>
      </c>
      <c r="I33" s="1042">
        <f t="shared" si="8"/>
        <v>0</v>
      </c>
      <c r="J33" s="1042">
        <f t="shared" si="8"/>
        <v>0</v>
      </c>
      <c r="K33" s="1042"/>
      <c r="L33" s="1039"/>
    </row>
    <row r="34" spans="1:12">
      <c r="A34" s="1040"/>
      <c r="B34" s="711" t="s">
        <v>24</v>
      </c>
      <c r="C34" s="1037" t="s">
        <v>23</v>
      </c>
      <c r="D34" s="1042"/>
      <c r="E34" s="1042"/>
      <c r="F34" s="1042"/>
      <c r="G34" s="1042"/>
      <c r="H34" s="1042"/>
      <c r="I34" s="1042"/>
      <c r="J34" s="1042"/>
      <c r="K34" s="1042"/>
      <c r="L34" s="1039"/>
    </row>
    <row r="35" spans="1:12">
      <c r="A35" s="1040"/>
      <c r="B35" s="711" t="s">
        <v>25</v>
      </c>
      <c r="C35" s="1037" t="s">
        <v>23</v>
      </c>
      <c r="D35" s="1042"/>
      <c r="E35" s="1042"/>
      <c r="F35" s="1042"/>
      <c r="G35" s="1042"/>
      <c r="H35" s="1042"/>
      <c r="I35" s="1042"/>
      <c r="J35" s="1042"/>
      <c r="K35" s="1042"/>
      <c r="L35" s="1039"/>
    </row>
    <row r="36" spans="1:12">
      <c r="A36" s="1040"/>
      <c r="B36" s="711" t="s">
        <v>37</v>
      </c>
      <c r="C36" s="1037" t="s">
        <v>23</v>
      </c>
      <c r="D36" s="1042"/>
      <c r="E36" s="1042"/>
      <c r="F36" s="1042"/>
      <c r="G36" s="1042"/>
      <c r="H36" s="1042"/>
      <c r="I36" s="1042"/>
      <c r="J36" s="1042"/>
      <c r="K36" s="1042"/>
      <c r="L36" s="1039"/>
    </row>
    <row r="37" spans="1:12">
      <c r="A37" s="1040"/>
      <c r="B37" s="711" t="s">
        <v>38</v>
      </c>
      <c r="C37" s="1037" t="s">
        <v>23</v>
      </c>
      <c r="D37" s="1042"/>
      <c r="E37" s="1042"/>
      <c r="F37" s="1042"/>
      <c r="G37" s="1042"/>
      <c r="H37" s="1042"/>
      <c r="I37" s="1042"/>
      <c r="J37" s="1042"/>
      <c r="K37" s="1042"/>
      <c r="L37" s="1039"/>
    </row>
    <row r="38" spans="1:12">
      <c r="A38" s="1040"/>
      <c r="B38" s="711" t="s">
        <v>39</v>
      </c>
      <c r="C38" s="1037" t="s">
        <v>23</v>
      </c>
      <c r="D38" s="1042"/>
      <c r="E38" s="1042"/>
      <c r="F38" s="1042"/>
      <c r="G38" s="1042"/>
      <c r="H38" s="1042"/>
      <c r="I38" s="1042"/>
      <c r="J38" s="1042"/>
      <c r="K38" s="1042"/>
      <c r="L38" s="1039"/>
    </row>
    <row r="39" spans="1:12" ht="54">
      <c r="A39" s="1043" t="s">
        <v>30</v>
      </c>
      <c r="B39" s="1041" t="s">
        <v>31</v>
      </c>
      <c r="C39" s="1037"/>
      <c r="D39" s="1042">
        <f>SUM(D40:D44)</f>
        <v>0</v>
      </c>
      <c r="E39" s="1042">
        <f t="shared" ref="E39:J39" si="9">SUM(E40:E44)</f>
        <v>0</v>
      </c>
      <c r="F39" s="1042">
        <f t="shared" si="9"/>
        <v>0</v>
      </c>
      <c r="G39" s="1042">
        <f t="shared" si="9"/>
        <v>0</v>
      </c>
      <c r="H39" s="1042">
        <f t="shared" si="9"/>
        <v>0</v>
      </c>
      <c r="I39" s="1042">
        <f t="shared" si="9"/>
        <v>0</v>
      </c>
      <c r="J39" s="1042">
        <f t="shared" si="9"/>
        <v>0</v>
      </c>
      <c r="K39" s="1042">
        <f t="shared" ref="K39:K47" si="10">SUM(D39:J39)</f>
        <v>0</v>
      </c>
      <c r="L39" s="1039"/>
    </row>
    <row r="40" spans="1:12">
      <c r="A40" s="1040"/>
      <c r="B40" s="711" t="s">
        <v>24</v>
      </c>
      <c r="C40" s="1037" t="s">
        <v>23</v>
      </c>
      <c r="D40" s="1042"/>
      <c r="E40" s="1042"/>
      <c r="F40" s="1042"/>
      <c r="G40" s="1042"/>
      <c r="H40" s="1042"/>
      <c r="I40" s="1042"/>
      <c r="J40" s="1042"/>
      <c r="K40" s="1042"/>
      <c r="L40" s="1039"/>
    </row>
    <row r="41" spans="1:12">
      <c r="A41" s="1040"/>
      <c r="B41" s="711" t="s">
        <v>25</v>
      </c>
      <c r="C41" s="1037" t="s">
        <v>23</v>
      </c>
      <c r="D41" s="1042"/>
      <c r="E41" s="1042"/>
      <c r="F41" s="1042"/>
      <c r="G41" s="1042"/>
      <c r="H41" s="1042"/>
      <c r="I41" s="1042"/>
      <c r="J41" s="1042"/>
      <c r="K41" s="1042"/>
      <c r="L41" s="1039"/>
    </row>
    <row r="42" spans="1:12">
      <c r="A42" s="1040"/>
      <c r="B42" s="711" t="s">
        <v>37</v>
      </c>
      <c r="C42" s="1037" t="s">
        <v>23</v>
      </c>
      <c r="D42" s="1042"/>
      <c r="E42" s="1042"/>
      <c r="F42" s="1042"/>
      <c r="G42" s="1042"/>
      <c r="H42" s="1042"/>
      <c r="I42" s="1042"/>
      <c r="J42" s="1042"/>
      <c r="K42" s="1042"/>
      <c r="L42" s="1039"/>
    </row>
    <row r="43" spans="1:12">
      <c r="A43" s="1040"/>
      <c r="B43" s="711" t="s">
        <v>38</v>
      </c>
      <c r="C43" s="1037" t="s">
        <v>23</v>
      </c>
      <c r="D43" s="1042"/>
      <c r="E43" s="1042"/>
      <c r="F43" s="1042"/>
      <c r="G43" s="1042"/>
      <c r="H43" s="1042"/>
      <c r="I43" s="1042"/>
      <c r="J43" s="1042"/>
      <c r="K43" s="1042"/>
      <c r="L43" s="1039"/>
    </row>
    <row r="44" spans="1:12">
      <c r="A44" s="1040"/>
      <c r="B44" s="711" t="s">
        <v>39</v>
      </c>
      <c r="C44" s="1037" t="s">
        <v>23</v>
      </c>
      <c r="D44" s="1042"/>
      <c r="E44" s="1042"/>
      <c r="F44" s="1042"/>
      <c r="G44" s="1042"/>
      <c r="H44" s="1042"/>
      <c r="I44" s="1042"/>
      <c r="J44" s="1042"/>
      <c r="K44" s="1042"/>
      <c r="L44" s="1039"/>
    </row>
    <row r="45" spans="1:12" ht="54">
      <c r="A45" s="1043" t="s">
        <v>32</v>
      </c>
      <c r="B45" s="1044" t="s">
        <v>33</v>
      </c>
      <c r="C45" s="1037" t="s">
        <v>23</v>
      </c>
      <c r="D45" s="1042"/>
      <c r="E45" s="1042"/>
      <c r="F45" s="1042"/>
      <c r="G45" s="1042"/>
      <c r="H45" s="1042"/>
      <c r="I45" s="1042"/>
      <c r="J45" s="1042"/>
      <c r="K45" s="1042"/>
      <c r="L45" s="1039"/>
    </row>
    <row r="46" spans="1:12">
      <c r="A46" s="1043"/>
      <c r="B46" s="711" t="s">
        <v>40</v>
      </c>
      <c r="C46" s="1037"/>
      <c r="D46" s="1042"/>
      <c r="E46" s="1042"/>
      <c r="F46" s="1042"/>
      <c r="G46" s="1042"/>
      <c r="H46" s="1042"/>
      <c r="I46" s="1042"/>
      <c r="J46" s="1042"/>
      <c r="K46" s="1042"/>
      <c r="L46" s="1039"/>
    </row>
    <row r="47" spans="1:12" ht="67.5">
      <c r="A47" s="1043" t="s">
        <v>35</v>
      </c>
      <c r="B47" s="1041" t="s">
        <v>36</v>
      </c>
      <c r="C47" s="1045" t="s">
        <v>23</v>
      </c>
      <c r="D47" s="1046">
        <f>SUM(D48:D53)</f>
        <v>0</v>
      </c>
      <c r="E47" s="1046">
        <f t="shared" ref="E47:J47" si="11">SUM(E48:E53)</f>
        <v>0</v>
      </c>
      <c r="F47" s="1046">
        <f t="shared" si="11"/>
        <v>0</v>
      </c>
      <c r="G47" s="1046">
        <f t="shared" si="11"/>
        <v>0</v>
      </c>
      <c r="H47" s="1046">
        <f t="shared" si="11"/>
        <v>0</v>
      </c>
      <c r="I47" s="1046">
        <f t="shared" si="11"/>
        <v>0</v>
      </c>
      <c r="J47" s="1046">
        <f t="shared" si="11"/>
        <v>0</v>
      </c>
      <c r="K47" s="1046">
        <f t="shared" si="10"/>
        <v>0</v>
      </c>
      <c r="L47" s="1047"/>
    </row>
    <row r="48" spans="1:12">
      <c r="A48" s="1040"/>
      <c r="B48" s="711" t="s">
        <v>24</v>
      </c>
      <c r="C48" s="1037" t="s">
        <v>23</v>
      </c>
      <c r="D48" s="1042"/>
      <c r="E48" s="1042"/>
      <c r="F48" s="1042"/>
      <c r="G48" s="1042"/>
      <c r="H48" s="1042"/>
      <c r="I48" s="1042"/>
      <c r="J48" s="1042"/>
      <c r="K48" s="1042"/>
      <c r="L48" s="1039"/>
    </row>
    <row r="49" spans="1:12">
      <c r="A49" s="1040"/>
      <c r="B49" s="711" t="s">
        <v>25</v>
      </c>
      <c r="C49" s="1037" t="s">
        <v>23</v>
      </c>
      <c r="D49" s="1042"/>
      <c r="E49" s="1042"/>
      <c r="F49" s="1042"/>
      <c r="G49" s="1042"/>
      <c r="H49" s="1042"/>
      <c r="I49" s="1042"/>
      <c r="J49" s="1042"/>
      <c r="K49" s="1042"/>
      <c r="L49" s="1039"/>
    </row>
    <row r="50" spans="1:12">
      <c r="A50" s="1040"/>
      <c r="B50" s="711" t="s">
        <v>37</v>
      </c>
      <c r="C50" s="1037" t="s">
        <v>23</v>
      </c>
      <c r="D50" s="1042"/>
      <c r="E50" s="1042"/>
      <c r="F50" s="1042"/>
      <c r="G50" s="1042"/>
      <c r="H50" s="1042"/>
      <c r="I50" s="1042"/>
      <c r="J50" s="1042"/>
      <c r="K50" s="1042"/>
      <c r="L50" s="1039"/>
    </row>
    <row r="51" spans="1:12">
      <c r="A51" s="1040"/>
      <c r="B51" s="711" t="s">
        <v>38</v>
      </c>
      <c r="C51" s="1037" t="s">
        <v>23</v>
      </c>
      <c r="D51" s="1042"/>
      <c r="E51" s="1042"/>
      <c r="F51" s="1042"/>
      <c r="G51" s="1042"/>
      <c r="H51" s="1042"/>
      <c r="I51" s="1042"/>
      <c r="J51" s="1042"/>
      <c r="K51" s="1042"/>
      <c r="L51" s="1039"/>
    </row>
    <row r="52" spans="1:12">
      <c r="A52" s="1040"/>
      <c r="B52" s="711" t="s">
        <v>39</v>
      </c>
      <c r="C52" s="1037" t="s">
        <v>23</v>
      </c>
      <c r="D52" s="1042"/>
      <c r="E52" s="1042"/>
      <c r="F52" s="1042"/>
      <c r="G52" s="1042"/>
      <c r="H52" s="1042"/>
      <c r="I52" s="1042"/>
      <c r="J52" s="1042"/>
      <c r="K52" s="1042"/>
      <c r="L52" s="1039"/>
    </row>
    <row r="53" spans="1:12">
      <c r="A53" s="1040"/>
      <c r="B53" s="711" t="s">
        <v>40</v>
      </c>
      <c r="C53" s="1037" t="s">
        <v>23</v>
      </c>
      <c r="D53" s="1042"/>
      <c r="E53" s="1042"/>
      <c r="F53" s="1042"/>
      <c r="G53" s="1042"/>
      <c r="H53" s="1042"/>
      <c r="I53" s="1042"/>
      <c r="J53" s="1042"/>
      <c r="K53" s="1042"/>
      <c r="L53" s="1039"/>
    </row>
    <row r="54" spans="1:12">
      <c r="A54" s="1035" t="s">
        <v>41</v>
      </c>
      <c r="B54" s="1036" t="s">
        <v>68</v>
      </c>
      <c r="C54" s="1037"/>
      <c r="D54" s="1042"/>
      <c r="E54" s="1042"/>
      <c r="F54" s="1042"/>
      <c r="G54" s="1042"/>
      <c r="H54" s="1042"/>
      <c r="I54" s="1042"/>
      <c r="J54" s="1042"/>
      <c r="K54" s="1050"/>
      <c r="L54" s="1039"/>
    </row>
    <row r="55" spans="1:12" ht="81">
      <c r="A55" s="1040" t="s">
        <v>21</v>
      </c>
      <c r="B55" s="1041" t="s">
        <v>22</v>
      </c>
      <c r="C55" s="1037" t="s">
        <v>23</v>
      </c>
      <c r="D55" s="1042">
        <f>SUM(D56:D60)</f>
        <v>0</v>
      </c>
      <c r="E55" s="1042">
        <f t="shared" ref="E55:J55" si="12">SUM(E56:E60)</f>
        <v>0</v>
      </c>
      <c r="F55" s="1042">
        <f t="shared" si="12"/>
        <v>158</v>
      </c>
      <c r="G55" s="1042">
        <f t="shared" si="12"/>
        <v>0</v>
      </c>
      <c r="H55" s="1042">
        <f t="shared" si="12"/>
        <v>0</v>
      </c>
      <c r="I55" s="1042">
        <f t="shared" si="12"/>
        <v>0</v>
      </c>
      <c r="J55" s="1042">
        <f t="shared" si="12"/>
        <v>0</v>
      </c>
      <c r="K55" s="1042">
        <f t="shared" ref="K55:K77" si="13">SUM(D55:J55)</f>
        <v>158</v>
      </c>
      <c r="L55" s="1039"/>
    </row>
    <row r="56" spans="1:12">
      <c r="A56" s="1040"/>
      <c r="B56" s="711" t="s">
        <v>24</v>
      </c>
      <c r="C56" s="1037" t="s">
        <v>23</v>
      </c>
      <c r="D56" s="1042"/>
      <c r="E56" s="1042"/>
      <c r="F56" s="1042">
        <v>0</v>
      </c>
      <c r="G56" s="1042"/>
      <c r="H56" s="1042"/>
      <c r="I56" s="1042"/>
      <c r="J56" s="1042"/>
      <c r="K56" s="1042">
        <f t="shared" si="13"/>
        <v>0</v>
      </c>
      <c r="L56" s="1039"/>
    </row>
    <row r="57" spans="1:12">
      <c r="A57" s="1040"/>
      <c r="B57" s="711" t="s">
        <v>25</v>
      </c>
      <c r="C57" s="1037" t="s">
        <v>23</v>
      </c>
      <c r="D57" s="1042"/>
      <c r="E57" s="1042"/>
      <c r="F57" s="1042">
        <v>0</v>
      </c>
      <c r="G57" s="1042"/>
      <c r="H57" s="1042"/>
      <c r="I57" s="1042"/>
      <c r="J57" s="1042"/>
      <c r="K57" s="1042">
        <f t="shared" si="13"/>
        <v>0</v>
      </c>
      <c r="L57" s="1039"/>
    </row>
    <row r="58" spans="1:12">
      <c r="A58" s="1040"/>
      <c r="B58" s="711" t="s">
        <v>37</v>
      </c>
      <c r="C58" s="1037" t="s">
        <v>23</v>
      </c>
      <c r="D58" s="1042"/>
      <c r="E58" s="1042"/>
      <c r="F58" s="1042">
        <v>87</v>
      </c>
      <c r="G58" s="1042"/>
      <c r="H58" s="1042"/>
      <c r="I58" s="1042"/>
      <c r="J58" s="1042"/>
      <c r="K58" s="1042">
        <f t="shared" si="13"/>
        <v>87</v>
      </c>
      <c r="L58" s="1039"/>
    </row>
    <row r="59" spans="1:12">
      <c r="A59" s="1040"/>
      <c r="B59" s="711" t="s">
        <v>38</v>
      </c>
      <c r="C59" s="1037" t="s">
        <v>23</v>
      </c>
      <c r="D59" s="1042"/>
      <c r="E59" s="1042"/>
      <c r="F59" s="1042">
        <v>0</v>
      </c>
      <c r="G59" s="1042"/>
      <c r="H59" s="1042"/>
      <c r="I59" s="1042"/>
      <c r="J59" s="1042"/>
      <c r="K59" s="1042">
        <f t="shared" si="13"/>
        <v>0</v>
      </c>
      <c r="L59" s="1039"/>
    </row>
    <row r="60" spans="1:12">
      <c r="A60" s="1040"/>
      <c r="B60" s="711" t="s">
        <v>39</v>
      </c>
      <c r="C60" s="1037" t="s">
        <v>23</v>
      </c>
      <c r="D60" s="1042"/>
      <c r="E60" s="1042"/>
      <c r="F60" s="1042">
        <v>71</v>
      </c>
      <c r="G60" s="1042"/>
      <c r="H60" s="1042"/>
      <c r="I60" s="1042"/>
      <c r="J60" s="1042"/>
      <c r="K60" s="1042">
        <f t="shared" si="13"/>
        <v>71</v>
      </c>
      <c r="L60" s="1039"/>
    </row>
    <row r="61" spans="1:12">
      <c r="A61" s="1040"/>
      <c r="B61" s="711" t="s">
        <v>40</v>
      </c>
      <c r="C61" s="1037"/>
      <c r="D61" s="1042"/>
      <c r="E61" s="1042"/>
      <c r="F61" s="1042">
        <v>73</v>
      </c>
      <c r="G61" s="1042"/>
      <c r="H61" s="1042"/>
      <c r="I61" s="1042"/>
      <c r="J61" s="1042"/>
      <c r="K61" s="1042"/>
      <c r="L61" s="1039"/>
    </row>
    <row r="62" spans="1:12" ht="54">
      <c r="A62" s="1043" t="s">
        <v>30</v>
      </c>
      <c r="B62" s="1041" t="s">
        <v>31</v>
      </c>
      <c r="C62" s="1037"/>
      <c r="D62" s="1042">
        <f>SUM(D63:D67)</f>
        <v>0</v>
      </c>
      <c r="E62" s="1042">
        <f t="shared" ref="E62:J62" si="14">SUM(E63:E67)</f>
        <v>0</v>
      </c>
      <c r="F62" s="1042">
        <f t="shared" si="14"/>
        <v>87</v>
      </c>
      <c r="G62" s="1042">
        <f t="shared" si="14"/>
        <v>0</v>
      </c>
      <c r="H62" s="1042">
        <f t="shared" si="14"/>
        <v>0</v>
      </c>
      <c r="I62" s="1042">
        <f t="shared" si="14"/>
        <v>0</v>
      </c>
      <c r="J62" s="1042">
        <f t="shared" si="14"/>
        <v>0</v>
      </c>
      <c r="K62" s="1042">
        <f t="shared" si="13"/>
        <v>87</v>
      </c>
      <c r="L62" s="1039"/>
    </row>
    <row r="63" spans="1:12">
      <c r="A63" s="1040"/>
      <c r="B63" s="711" t="s">
        <v>24</v>
      </c>
      <c r="C63" s="1037" t="s">
        <v>23</v>
      </c>
      <c r="D63" s="1042"/>
      <c r="E63" s="1042"/>
      <c r="F63" s="1042"/>
      <c r="G63" s="1042"/>
      <c r="H63" s="1042"/>
      <c r="I63" s="1042"/>
      <c r="J63" s="1042"/>
      <c r="K63" s="1042"/>
      <c r="L63" s="1039"/>
    </row>
    <row r="64" spans="1:12">
      <c r="A64" s="1040"/>
      <c r="B64" s="711" t="s">
        <v>25</v>
      </c>
      <c r="C64" s="1037" t="s">
        <v>23</v>
      </c>
      <c r="D64" s="1042"/>
      <c r="E64" s="1042"/>
      <c r="F64" s="1042"/>
      <c r="G64" s="1042"/>
      <c r="H64" s="1042"/>
      <c r="I64" s="1042"/>
      <c r="J64" s="1042"/>
      <c r="K64" s="1042"/>
      <c r="L64" s="1039"/>
    </row>
    <row r="65" spans="1:12">
      <c r="A65" s="1040"/>
      <c r="B65" s="711" t="s">
        <v>37</v>
      </c>
      <c r="C65" s="1037" t="s">
        <v>23</v>
      </c>
      <c r="D65" s="1042"/>
      <c r="E65" s="1042"/>
      <c r="F65" s="1042">
        <v>87</v>
      </c>
      <c r="G65" s="1042"/>
      <c r="H65" s="1042"/>
      <c r="I65" s="1042"/>
      <c r="J65" s="1042"/>
      <c r="K65" s="1042">
        <f t="shared" si="13"/>
        <v>87</v>
      </c>
      <c r="L65" s="1039"/>
    </row>
    <row r="66" spans="1:12">
      <c r="A66" s="1040"/>
      <c r="B66" s="711" t="s">
        <v>38</v>
      </c>
      <c r="C66" s="1037" t="s">
        <v>23</v>
      </c>
      <c r="D66" s="1042"/>
      <c r="E66" s="1042"/>
      <c r="F66" s="1042"/>
      <c r="G66" s="1042"/>
      <c r="H66" s="1042"/>
      <c r="I66" s="1042"/>
      <c r="J66" s="1042"/>
      <c r="K66" s="1042"/>
      <c r="L66" s="1039"/>
    </row>
    <row r="67" spans="1:12">
      <c r="A67" s="1040"/>
      <c r="B67" s="711" t="s">
        <v>39</v>
      </c>
      <c r="C67" s="1037" t="s">
        <v>23</v>
      </c>
      <c r="D67" s="1042"/>
      <c r="E67" s="1042"/>
      <c r="F67" s="1042"/>
      <c r="G67" s="1042"/>
      <c r="H67" s="1042"/>
      <c r="I67" s="1042"/>
      <c r="J67" s="1042"/>
      <c r="K67" s="1042"/>
      <c r="L67" s="1039"/>
    </row>
    <row r="68" spans="1:12">
      <c r="A68" s="1040"/>
      <c r="B68" s="711" t="s">
        <v>40</v>
      </c>
      <c r="C68" s="1037"/>
      <c r="D68" s="1042"/>
      <c r="E68" s="1042"/>
      <c r="F68" s="1042"/>
      <c r="G68" s="1042"/>
      <c r="H68" s="1042"/>
      <c r="I68" s="1042"/>
      <c r="J68" s="1042"/>
      <c r="K68" s="1042"/>
      <c r="L68" s="1039"/>
    </row>
    <row r="69" spans="1:12" ht="54">
      <c r="A69" s="1043" t="s">
        <v>32</v>
      </c>
      <c r="B69" s="1044" t="s">
        <v>33</v>
      </c>
      <c r="C69" s="1037" t="s">
        <v>23</v>
      </c>
      <c r="D69" s="1042"/>
      <c r="E69" s="1042"/>
      <c r="F69" s="1042">
        <v>73</v>
      </c>
      <c r="G69" s="1042"/>
      <c r="H69" s="1042"/>
      <c r="I69" s="1042"/>
      <c r="J69" s="1042"/>
      <c r="K69" s="1042">
        <f t="shared" si="13"/>
        <v>73</v>
      </c>
      <c r="L69" s="1039"/>
    </row>
    <row r="70" spans="1:12">
      <c r="A70" s="1043"/>
      <c r="B70" s="711" t="s">
        <v>743</v>
      </c>
      <c r="C70" s="1037"/>
      <c r="D70" s="1042"/>
      <c r="E70" s="1042"/>
      <c r="F70" s="1042">
        <v>73</v>
      </c>
      <c r="G70" s="1042"/>
      <c r="H70" s="1042"/>
      <c r="I70" s="1042"/>
      <c r="J70" s="1042"/>
      <c r="K70" s="1042">
        <f t="shared" si="13"/>
        <v>73</v>
      </c>
      <c r="L70" s="1039"/>
    </row>
    <row r="71" spans="1:12" ht="67.5">
      <c r="A71" s="1043" t="s">
        <v>35</v>
      </c>
      <c r="B71" s="1041" t="s">
        <v>36</v>
      </c>
      <c r="C71" s="1045" t="s">
        <v>23</v>
      </c>
      <c r="D71" s="1046">
        <f>SUM(D72:D77)</f>
        <v>0</v>
      </c>
      <c r="E71" s="1046">
        <f t="shared" ref="E71" si="15">SUM(E72:E77)</f>
        <v>0</v>
      </c>
      <c r="F71" s="1046">
        <f>SUM(F72:F78)</f>
        <v>217</v>
      </c>
      <c r="G71" s="1046">
        <f t="shared" ref="G71:J71" si="16">SUM(G72:G77)</f>
        <v>0</v>
      </c>
      <c r="H71" s="1046">
        <f t="shared" si="16"/>
        <v>0</v>
      </c>
      <c r="I71" s="1046">
        <f t="shared" si="16"/>
        <v>0</v>
      </c>
      <c r="J71" s="1046">
        <f t="shared" si="16"/>
        <v>0</v>
      </c>
      <c r="K71" s="1046">
        <f t="shared" si="13"/>
        <v>217</v>
      </c>
      <c r="L71" s="1047"/>
    </row>
    <row r="72" spans="1:12">
      <c r="A72" s="1040"/>
      <c r="B72" s="711" t="s">
        <v>24</v>
      </c>
      <c r="C72" s="1037" t="s">
        <v>23</v>
      </c>
      <c r="D72" s="1042"/>
      <c r="E72" s="1042"/>
      <c r="F72" s="1042"/>
      <c r="G72" s="1042"/>
      <c r="H72" s="1042"/>
      <c r="I72" s="1042"/>
      <c r="J72" s="1042"/>
      <c r="K72" s="1042"/>
      <c r="L72" s="1039"/>
    </row>
    <row r="73" spans="1:12">
      <c r="A73" s="1040"/>
      <c r="B73" s="711" t="s">
        <v>25</v>
      </c>
      <c r="C73" s="1037" t="s">
        <v>23</v>
      </c>
      <c r="D73" s="1042"/>
      <c r="E73" s="1042"/>
      <c r="F73" s="1042"/>
      <c r="G73" s="1042"/>
      <c r="H73" s="1042"/>
      <c r="I73" s="1042"/>
      <c r="J73" s="1042"/>
      <c r="K73" s="1042"/>
      <c r="L73" s="1039"/>
    </row>
    <row r="74" spans="1:12">
      <c r="A74" s="1040"/>
      <c r="B74" s="711" t="s">
        <v>37</v>
      </c>
      <c r="C74" s="1037" t="s">
        <v>23</v>
      </c>
      <c r="D74" s="1042"/>
      <c r="E74" s="1042"/>
      <c r="F74" s="1042"/>
      <c r="G74" s="1042"/>
      <c r="H74" s="1042"/>
      <c r="I74" s="1042"/>
      <c r="J74" s="1042"/>
      <c r="K74" s="1042"/>
      <c r="L74" s="1039"/>
    </row>
    <row r="75" spans="1:12">
      <c r="A75" s="1040"/>
      <c r="B75" s="711" t="s">
        <v>38</v>
      </c>
      <c r="C75" s="1037" t="s">
        <v>23</v>
      </c>
      <c r="D75" s="1042"/>
      <c r="E75" s="1042"/>
      <c r="F75" s="1042"/>
      <c r="G75" s="1042"/>
      <c r="H75" s="1042"/>
      <c r="I75" s="1042"/>
      <c r="J75" s="1042"/>
      <c r="K75" s="1042"/>
      <c r="L75" s="1039"/>
    </row>
    <row r="76" spans="1:12">
      <c r="A76" s="1040"/>
      <c r="B76" s="711" t="s">
        <v>39</v>
      </c>
      <c r="C76" s="1037" t="s">
        <v>23</v>
      </c>
      <c r="D76" s="1042"/>
      <c r="E76" s="1042"/>
      <c r="F76" s="1042">
        <f t="shared" ref="F76" si="17">+F60-F67</f>
        <v>71</v>
      </c>
      <c r="G76" s="1042"/>
      <c r="H76" s="1042"/>
      <c r="I76" s="1042"/>
      <c r="J76" s="1042"/>
      <c r="K76" s="1042">
        <f t="shared" si="13"/>
        <v>71</v>
      </c>
      <c r="L76" s="1039"/>
    </row>
    <row r="77" spans="1:12">
      <c r="A77" s="1040"/>
      <c r="B77" s="711" t="s">
        <v>40</v>
      </c>
      <c r="C77" s="1037" t="s">
        <v>23</v>
      </c>
      <c r="D77" s="1042"/>
      <c r="E77" s="1042"/>
      <c r="F77" s="1042">
        <f t="shared" ref="F77" si="18">+F70</f>
        <v>73</v>
      </c>
      <c r="G77" s="1042"/>
      <c r="H77" s="1042"/>
      <c r="I77" s="1042"/>
      <c r="J77" s="1042"/>
      <c r="K77" s="1042">
        <f t="shared" si="13"/>
        <v>73</v>
      </c>
      <c r="L77" s="1039"/>
    </row>
    <row r="78" spans="1:12" ht="14.5" thickBot="1">
      <c r="A78" s="1052"/>
      <c r="B78" s="1053" t="s">
        <v>743</v>
      </c>
      <c r="C78" s="1054"/>
      <c r="D78" s="1055"/>
      <c r="E78" s="1055"/>
      <c r="F78" s="1055">
        <v>73</v>
      </c>
      <c r="G78" s="1055"/>
      <c r="H78" s="1055"/>
      <c r="I78" s="1055"/>
      <c r="J78" s="1055"/>
      <c r="K78" s="1055"/>
      <c r="L78" s="1056"/>
    </row>
    <row r="79" spans="1:12" ht="17" customHeight="1">
      <c r="A79" s="20"/>
      <c r="B79" s="21"/>
      <c r="C79" s="22"/>
      <c r="D79" s="22"/>
      <c r="E79" s="22"/>
      <c r="F79" s="22"/>
      <c r="G79" s="22"/>
      <c r="H79" s="22"/>
      <c r="I79" s="1318" t="s">
        <v>42</v>
      </c>
      <c r="J79" s="1318"/>
      <c r="K79" s="1318"/>
      <c r="L79" s="1318"/>
    </row>
    <row r="80" spans="1:12" ht="15.65" customHeight="1">
      <c r="A80" s="1314"/>
      <c r="B80" s="1315"/>
      <c r="C80" s="1315"/>
      <c r="D80" s="23"/>
      <c r="E80" s="23"/>
      <c r="F80" s="23"/>
      <c r="G80" s="23"/>
      <c r="H80" s="23"/>
      <c r="I80" s="1297" t="s">
        <v>43</v>
      </c>
      <c r="J80" s="1297"/>
      <c r="K80" s="1297"/>
      <c r="L80" s="1297"/>
    </row>
    <row r="81" spans="1:12">
      <c r="A81" s="26"/>
      <c r="B81" s="26"/>
      <c r="C81" s="26"/>
      <c r="D81" s="26"/>
      <c r="E81" s="26"/>
      <c r="F81" s="26"/>
      <c r="G81" s="26"/>
      <c r="H81" s="26"/>
      <c r="I81" s="26"/>
      <c r="J81" s="26"/>
      <c r="K81" s="26"/>
      <c r="L81" s="26"/>
    </row>
    <row r="82" spans="1:12">
      <c r="A82" s="26"/>
      <c r="B82" s="26"/>
      <c r="C82" s="26"/>
      <c r="D82" s="26"/>
      <c r="E82" s="26"/>
      <c r="F82" s="26"/>
      <c r="G82" s="26"/>
      <c r="H82" s="26"/>
      <c r="I82" s="26"/>
      <c r="J82" s="26"/>
      <c r="K82" s="26"/>
      <c r="L82" s="26"/>
    </row>
    <row r="83" spans="1:12">
      <c r="A83" s="26"/>
      <c r="B83" s="26"/>
      <c r="C83" s="26"/>
      <c r="D83" s="26"/>
      <c r="E83" s="26"/>
      <c r="F83" s="26"/>
      <c r="G83" s="26"/>
      <c r="H83" s="26"/>
      <c r="I83" s="26"/>
      <c r="J83" s="26"/>
      <c r="K83" s="26"/>
      <c r="L83" s="26"/>
    </row>
    <row r="84" spans="1:12">
      <c r="A84" s="26"/>
      <c r="B84" s="26"/>
      <c r="C84" s="26"/>
      <c r="D84" s="26"/>
      <c r="E84" s="26"/>
      <c r="F84" s="26"/>
      <c r="G84" s="26"/>
      <c r="H84" s="26"/>
      <c r="I84" s="26"/>
      <c r="J84" s="26"/>
      <c r="K84" s="26"/>
      <c r="L84" s="26"/>
    </row>
    <row r="85" spans="1:12">
      <c r="A85" s="26"/>
      <c r="B85" s="26"/>
      <c r="C85" s="26"/>
      <c r="D85" s="26"/>
      <c r="E85" s="26"/>
      <c r="F85" s="26"/>
      <c r="G85" s="26"/>
      <c r="H85" s="26"/>
      <c r="I85" s="1313" t="s">
        <v>1428</v>
      </c>
      <c r="J85" s="1313"/>
      <c r="K85" s="1313"/>
      <c r="L85" s="1313"/>
    </row>
    <row r="86" spans="1:12">
      <c r="A86" s="26"/>
      <c r="B86" s="26"/>
      <c r="C86" s="26"/>
      <c r="D86" s="26"/>
      <c r="E86" s="26"/>
      <c r="F86" s="26"/>
      <c r="G86" s="26"/>
      <c r="H86" s="26"/>
      <c r="I86" s="26"/>
      <c r="J86" s="26"/>
      <c r="K86" s="26"/>
      <c r="L86" s="26"/>
    </row>
    <row r="87" spans="1:12">
      <c r="A87" s="27" t="s">
        <v>65</v>
      </c>
      <c r="B87" s="28"/>
      <c r="C87" s="28"/>
      <c r="D87" s="28"/>
      <c r="E87" s="28"/>
      <c r="F87" s="28"/>
      <c r="G87" s="28"/>
      <c r="H87" s="28"/>
      <c r="I87" s="28"/>
      <c r="J87" s="28"/>
      <c r="K87" s="28"/>
      <c r="L87" s="28"/>
    </row>
  </sheetData>
  <mergeCells count="8">
    <mergeCell ref="I85:L85"/>
    <mergeCell ref="A80:C80"/>
    <mergeCell ref="K1:L1"/>
    <mergeCell ref="A3:L3"/>
    <mergeCell ref="A1:C1"/>
    <mergeCell ref="I79:L79"/>
    <mergeCell ref="I80:L80"/>
    <mergeCell ref="A2:C2"/>
  </mergeCells>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40"/>
  <sheetViews>
    <sheetView workbookViewId="0">
      <selection activeCell="A5" sqref="A5:L35"/>
    </sheetView>
  </sheetViews>
  <sheetFormatPr defaultColWidth="8.9140625" defaultRowHeight="14"/>
  <cols>
    <col min="1" max="1" width="4.9140625" customWidth="1"/>
    <col min="2" max="2" width="44.9140625" customWidth="1"/>
    <col min="3" max="3" width="14.9140625" customWidth="1"/>
    <col min="4" max="4" width="18.4140625" customWidth="1"/>
    <col min="5" max="11" width="0" hidden="1" customWidth="1"/>
    <col min="12" max="12" width="27.4140625" customWidth="1"/>
  </cols>
  <sheetData>
    <row r="1" spans="1:12">
      <c r="A1" s="1317" t="s">
        <v>0</v>
      </c>
      <c r="B1" s="1317"/>
      <c r="C1" s="1"/>
      <c r="D1" s="1"/>
      <c r="E1" s="1"/>
      <c r="F1" s="1"/>
      <c r="G1" s="1"/>
      <c r="H1" s="1"/>
      <c r="I1" s="1"/>
      <c r="J1" s="1"/>
      <c r="K1" s="1316" t="s">
        <v>1</v>
      </c>
      <c r="L1" s="1316"/>
    </row>
    <row r="2" spans="1:12">
      <c r="A2" s="1319" t="s">
        <v>2</v>
      </c>
      <c r="B2" s="1319"/>
      <c r="C2" s="1"/>
      <c r="D2" s="1"/>
      <c r="E2" s="1"/>
      <c r="F2" s="1"/>
      <c r="G2" s="1"/>
      <c r="H2" s="1"/>
      <c r="I2" s="1"/>
      <c r="J2" s="1"/>
      <c r="K2" s="2"/>
      <c r="L2" s="2"/>
    </row>
    <row r="3" spans="1:12">
      <c r="A3" s="1302" t="s">
        <v>467</v>
      </c>
      <c r="B3" s="1302"/>
      <c r="C3" s="1302"/>
      <c r="D3" s="1302"/>
      <c r="E3" s="1302"/>
      <c r="F3" s="1302"/>
      <c r="G3" s="1302"/>
      <c r="H3" s="1302"/>
      <c r="I3" s="1302"/>
      <c r="J3" s="1302"/>
      <c r="K3" s="1302"/>
      <c r="L3" s="1302"/>
    </row>
    <row r="4" spans="1:12" ht="14.5" thickBot="1">
      <c r="A4" s="3"/>
      <c r="B4" s="3"/>
      <c r="C4" s="3"/>
      <c r="D4" s="3"/>
      <c r="E4" s="3"/>
      <c r="F4" s="3"/>
      <c r="G4" s="3"/>
      <c r="H4" s="3"/>
      <c r="I4" s="3"/>
      <c r="J4" s="3"/>
      <c r="K4" s="3"/>
      <c r="L4" s="4" t="s">
        <v>4</v>
      </c>
    </row>
    <row r="5" spans="1:12" ht="26.5" thickTop="1">
      <c r="A5" s="5" t="s">
        <v>5</v>
      </c>
      <c r="B5" s="6" t="s">
        <v>6</v>
      </c>
      <c r="C5" s="6" t="s">
        <v>7</v>
      </c>
      <c r="D5" s="6" t="s">
        <v>69</v>
      </c>
      <c r="E5" s="6" t="s">
        <v>9</v>
      </c>
      <c r="F5" s="6" t="s">
        <v>10</v>
      </c>
      <c r="G5" s="6" t="s">
        <v>11</v>
      </c>
      <c r="H5" s="6" t="s">
        <v>12</v>
      </c>
      <c r="I5" s="6" t="s">
        <v>13</v>
      </c>
      <c r="J5" s="6" t="s">
        <v>14</v>
      </c>
      <c r="K5" s="6" t="s">
        <v>15</v>
      </c>
      <c r="L5" s="7" t="s">
        <v>16</v>
      </c>
    </row>
    <row r="6" spans="1:12">
      <c r="A6" s="443" t="s">
        <v>19</v>
      </c>
      <c r="B6" s="444" t="s">
        <v>70</v>
      </c>
      <c r="C6" s="445"/>
      <c r="D6" s="446"/>
      <c r="E6" s="446"/>
      <c r="F6" s="446"/>
      <c r="G6" s="446"/>
      <c r="H6" s="446"/>
      <c r="I6" s="446"/>
      <c r="J6" s="446"/>
      <c r="K6" s="447"/>
      <c r="L6" s="448"/>
    </row>
    <row r="7" spans="1:12" ht="40.5">
      <c r="A7" s="449" t="s">
        <v>21</v>
      </c>
      <c r="B7" s="450" t="s">
        <v>71</v>
      </c>
      <c r="C7" s="238" t="s">
        <v>72</v>
      </c>
      <c r="D7" s="240">
        <f t="shared" ref="D7:J7" si="0">SUM(D8:D10)</f>
        <v>0</v>
      </c>
      <c r="E7" s="240">
        <f t="shared" si="0"/>
        <v>0</v>
      </c>
      <c r="F7" s="240">
        <f t="shared" si="0"/>
        <v>0</v>
      </c>
      <c r="G7" s="240">
        <f t="shared" si="0"/>
        <v>0</v>
      </c>
      <c r="H7" s="240">
        <f t="shared" si="0"/>
        <v>0</v>
      </c>
      <c r="I7" s="240">
        <f t="shared" si="0"/>
        <v>0</v>
      </c>
      <c r="J7" s="240">
        <f t="shared" si="0"/>
        <v>0</v>
      </c>
      <c r="K7" s="240">
        <f t="shared" ref="K7:K20" si="1">SUM(D7:J7)</f>
        <v>0</v>
      </c>
      <c r="L7" s="451"/>
    </row>
    <row r="8" spans="1:12">
      <c r="A8" s="449"/>
      <c r="B8" s="239" t="s">
        <v>73</v>
      </c>
      <c r="C8" s="238" t="s">
        <v>72</v>
      </c>
      <c r="D8" s="240"/>
      <c r="E8" s="240"/>
      <c r="F8" s="240"/>
      <c r="G8" s="240"/>
      <c r="H8" s="240"/>
      <c r="I8" s="240"/>
      <c r="J8" s="240"/>
      <c r="K8" s="240">
        <f t="shared" si="1"/>
        <v>0</v>
      </c>
      <c r="L8" s="451"/>
    </row>
    <row r="9" spans="1:12">
      <c r="A9" s="449"/>
      <c r="B9" s="239" t="s">
        <v>74</v>
      </c>
      <c r="C9" s="238" t="s">
        <v>72</v>
      </c>
      <c r="D9" s="240"/>
      <c r="E9" s="240"/>
      <c r="F9" s="240"/>
      <c r="G9" s="240"/>
      <c r="H9" s="240"/>
      <c r="I9" s="240"/>
      <c r="J9" s="240"/>
      <c r="K9" s="240">
        <f t="shared" si="1"/>
        <v>0</v>
      </c>
      <c r="L9" s="451"/>
    </row>
    <row r="10" spans="1:12">
      <c r="A10" s="449"/>
      <c r="B10" s="239" t="s">
        <v>75</v>
      </c>
      <c r="C10" s="238" t="s">
        <v>72</v>
      </c>
      <c r="D10" s="240"/>
      <c r="E10" s="240"/>
      <c r="F10" s="240"/>
      <c r="G10" s="240"/>
      <c r="H10" s="240"/>
      <c r="I10" s="240"/>
      <c r="J10" s="240"/>
      <c r="K10" s="240">
        <f t="shared" si="1"/>
        <v>0</v>
      </c>
      <c r="L10" s="451"/>
    </row>
    <row r="11" spans="1:12" ht="27">
      <c r="A11" s="452" t="s">
        <v>30</v>
      </c>
      <c r="B11" s="450" t="s">
        <v>76</v>
      </c>
      <c r="C11" s="238"/>
      <c r="D11" s="240">
        <f t="shared" ref="D11:J11" si="2">SUM(D12:D14)</f>
        <v>0</v>
      </c>
      <c r="E11" s="240">
        <f t="shared" si="2"/>
        <v>0</v>
      </c>
      <c r="F11" s="240">
        <f t="shared" si="2"/>
        <v>0</v>
      </c>
      <c r="G11" s="240">
        <f t="shared" si="2"/>
        <v>0</v>
      </c>
      <c r="H11" s="240">
        <f t="shared" si="2"/>
        <v>0</v>
      </c>
      <c r="I11" s="240">
        <f t="shared" si="2"/>
        <v>0</v>
      </c>
      <c r="J11" s="240">
        <f t="shared" si="2"/>
        <v>0</v>
      </c>
      <c r="K11" s="240">
        <f t="shared" si="1"/>
        <v>0</v>
      </c>
      <c r="L11" s="451"/>
    </row>
    <row r="12" spans="1:12">
      <c r="A12" s="449"/>
      <c r="B12" s="239" t="s">
        <v>73</v>
      </c>
      <c r="C12" s="238" t="s">
        <v>72</v>
      </c>
      <c r="D12" s="240"/>
      <c r="E12" s="240"/>
      <c r="F12" s="240"/>
      <c r="G12" s="240"/>
      <c r="H12" s="240"/>
      <c r="I12" s="240"/>
      <c r="J12" s="240"/>
      <c r="K12" s="240">
        <f t="shared" si="1"/>
        <v>0</v>
      </c>
      <c r="L12" s="451"/>
    </row>
    <row r="13" spans="1:12">
      <c r="A13" s="449"/>
      <c r="B13" s="239" t="s">
        <v>74</v>
      </c>
      <c r="C13" s="238" t="s">
        <v>72</v>
      </c>
      <c r="D13" s="240"/>
      <c r="E13" s="240"/>
      <c r="F13" s="240"/>
      <c r="G13" s="240"/>
      <c r="H13" s="240"/>
      <c r="I13" s="240"/>
      <c r="J13" s="240"/>
      <c r="K13" s="240">
        <f t="shared" si="1"/>
        <v>0</v>
      </c>
      <c r="L13" s="451"/>
    </row>
    <row r="14" spans="1:12">
      <c r="A14" s="449"/>
      <c r="B14" s="239" t="s">
        <v>75</v>
      </c>
      <c r="C14" s="238" t="s">
        <v>72</v>
      </c>
      <c r="D14" s="240"/>
      <c r="E14" s="240"/>
      <c r="F14" s="240"/>
      <c r="G14" s="240"/>
      <c r="H14" s="240"/>
      <c r="I14" s="240"/>
      <c r="J14" s="240"/>
      <c r="K14" s="240">
        <f t="shared" si="1"/>
        <v>0</v>
      </c>
      <c r="L14" s="451"/>
    </row>
    <row r="15" spans="1:12" ht="27">
      <c r="A15" s="452" t="s">
        <v>32</v>
      </c>
      <c r="B15" s="453" t="s">
        <v>77</v>
      </c>
      <c r="C15" s="238" t="s">
        <v>23</v>
      </c>
      <c r="D15" s="240"/>
      <c r="E15" s="240"/>
      <c r="F15" s="240"/>
      <c r="G15" s="240"/>
      <c r="H15" s="240"/>
      <c r="I15" s="240"/>
      <c r="J15" s="240"/>
      <c r="K15" s="240">
        <f t="shared" si="1"/>
        <v>0</v>
      </c>
      <c r="L15" s="451"/>
    </row>
    <row r="16" spans="1:12">
      <c r="A16" s="452"/>
      <c r="B16" s="239" t="s">
        <v>78</v>
      </c>
      <c r="C16" s="238"/>
      <c r="D16" s="240"/>
      <c r="E16" s="240"/>
      <c r="F16" s="240"/>
      <c r="G16" s="240"/>
      <c r="H16" s="240"/>
      <c r="I16" s="240"/>
      <c r="J16" s="240"/>
      <c r="K16" s="240">
        <f t="shared" si="1"/>
        <v>0</v>
      </c>
      <c r="L16" s="451"/>
    </row>
    <row r="17" spans="1:12" ht="40.5">
      <c r="A17" s="452" t="s">
        <v>35</v>
      </c>
      <c r="B17" s="450" t="s">
        <v>79</v>
      </c>
      <c r="C17" s="454" t="s">
        <v>23</v>
      </c>
      <c r="D17" s="455">
        <f t="shared" ref="D17:J17" si="3">SUM(D18:D20)</f>
        <v>0</v>
      </c>
      <c r="E17" s="455">
        <f t="shared" si="3"/>
        <v>0</v>
      </c>
      <c r="F17" s="455">
        <f t="shared" si="3"/>
        <v>0</v>
      </c>
      <c r="G17" s="455">
        <f t="shared" si="3"/>
        <v>0</v>
      </c>
      <c r="H17" s="455">
        <f t="shared" si="3"/>
        <v>0</v>
      </c>
      <c r="I17" s="455">
        <f t="shared" si="3"/>
        <v>0</v>
      </c>
      <c r="J17" s="455">
        <f t="shared" si="3"/>
        <v>0</v>
      </c>
      <c r="K17" s="455">
        <f t="shared" si="1"/>
        <v>0</v>
      </c>
      <c r="L17" s="456"/>
    </row>
    <row r="18" spans="1:12">
      <c r="A18" s="449"/>
      <c r="B18" s="239" t="s">
        <v>80</v>
      </c>
      <c r="C18" s="238" t="s">
        <v>23</v>
      </c>
      <c r="D18" s="240">
        <f>+D9-D13</f>
        <v>0</v>
      </c>
      <c r="E18" s="240">
        <f t="shared" ref="E18:J18" si="4">E8-E12</f>
        <v>0</v>
      </c>
      <c r="F18" s="240">
        <f t="shared" si="4"/>
        <v>0</v>
      </c>
      <c r="G18" s="240">
        <f t="shared" si="4"/>
        <v>0</v>
      </c>
      <c r="H18" s="240">
        <f t="shared" si="4"/>
        <v>0</v>
      </c>
      <c r="I18" s="240">
        <f t="shared" si="4"/>
        <v>0</v>
      </c>
      <c r="J18" s="240">
        <f t="shared" si="4"/>
        <v>0</v>
      </c>
      <c r="K18" s="240">
        <f t="shared" si="1"/>
        <v>0</v>
      </c>
      <c r="L18" s="451"/>
    </row>
    <row r="19" spans="1:12">
      <c r="A19" s="449"/>
      <c r="B19" s="239" t="s">
        <v>81</v>
      </c>
      <c r="C19" s="238" t="s">
        <v>23</v>
      </c>
      <c r="D19" s="240">
        <f>+D10-D14</f>
        <v>0</v>
      </c>
      <c r="E19" s="240">
        <f t="shared" ref="E19:J20" si="5">+E9-E13</f>
        <v>0</v>
      </c>
      <c r="F19" s="240">
        <f t="shared" si="5"/>
        <v>0</v>
      </c>
      <c r="G19" s="240">
        <f t="shared" si="5"/>
        <v>0</v>
      </c>
      <c r="H19" s="240">
        <f t="shared" si="5"/>
        <v>0</v>
      </c>
      <c r="I19" s="240">
        <f t="shared" si="5"/>
        <v>0</v>
      </c>
      <c r="J19" s="240">
        <f t="shared" si="5"/>
        <v>0</v>
      </c>
      <c r="K19" s="240">
        <f t="shared" si="1"/>
        <v>0</v>
      </c>
      <c r="L19" s="451"/>
    </row>
    <row r="20" spans="1:12">
      <c r="A20" s="449"/>
      <c r="B20" s="239" t="s">
        <v>82</v>
      </c>
      <c r="C20" s="238" t="s">
        <v>23</v>
      </c>
      <c r="D20" s="240">
        <f>+D16</f>
        <v>0</v>
      </c>
      <c r="E20" s="240">
        <f t="shared" si="5"/>
        <v>0</v>
      </c>
      <c r="F20" s="240">
        <f t="shared" si="5"/>
        <v>0</v>
      </c>
      <c r="G20" s="240">
        <f t="shared" si="5"/>
        <v>0</v>
      </c>
      <c r="H20" s="240">
        <f t="shared" si="5"/>
        <v>0</v>
      </c>
      <c r="I20" s="240">
        <f t="shared" si="5"/>
        <v>0</v>
      </c>
      <c r="J20" s="240">
        <f t="shared" si="5"/>
        <v>0</v>
      </c>
      <c r="K20" s="240">
        <f t="shared" si="1"/>
        <v>0</v>
      </c>
      <c r="L20" s="451"/>
    </row>
    <row r="21" spans="1:12">
      <c r="A21" s="443" t="s">
        <v>19</v>
      </c>
      <c r="B21" s="444" t="s">
        <v>83</v>
      </c>
      <c r="C21" s="457" t="s">
        <v>84</v>
      </c>
      <c r="D21" s="458"/>
      <c r="E21" s="458"/>
      <c r="F21" s="458"/>
      <c r="G21" s="458"/>
      <c r="H21" s="458"/>
      <c r="I21" s="458"/>
      <c r="J21" s="458"/>
      <c r="K21" s="458"/>
      <c r="L21" s="459"/>
    </row>
    <row r="22" spans="1:12" ht="40.5">
      <c r="A22" s="449" t="s">
        <v>21</v>
      </c>
      <c r="B22" s="450" t="s">
        <v>85</v>
      </c>
      <c r="C22" s="238" t="s">
        <v>72</v>
      </c>
      <c r="D22" s="240">
        <f t="shared" ref="D22:J22" si="6">SUM(D23:D25)</f>
        <v>0</v>
      </c>
      <c r="E22" s="240">
        <f t="shared" si="6"/>
        <v>0</v>
      </c>
      <c r="F22" s="240">
        <f t="shared" si="6"/>
        <v>0</v>
      </c>
      <c r="G22" s="240">
        <f t="shared" si="6"/>
        <v>0</v>
      </c>
      <c r="H22" s="240">
        <f t="shared" si="6"/>
        <v>0</v>
      </c>
      <c r="I22" s="240">
        <f t="shared" si="6"/>
        <v>0</v>
      </c>
      <c r="J22" s="240">
        <f t="shared" si="6"/>
        <v>0</v>
      </c>
      <c r="K22" s="240">
        <f t="shared" ref="K22:K35" si="7">SUM(D22:J22)</f>
        <v>0</v>
      </c>
      <c r="L22" s="451"/>
    </row>
    <row r="23" spans="1:12">
      <c r="A23" s="449"/>
      <c r="B23" s="239" t="s">
        <v>73</v>
      </c>
      <c r="C23" s="238" t="s">
        <v>72</v>
      </c>
      <c r="D23" s="240"/>
      <c r="E23" s="240"/>
      <c r="F23" s="240"/>
      <c r="G23" s="240"/>
      <c r="H23" s="240"/>
      <c r="I23" s="240"/>
      <c r="J23" s="240"/>
      <c r="K23" s="240">
        <f t="shared" si="7"/>
        <v>0</v>
      </c>
      <c r="L23" s="451"/>
    </row>
    <row r="24" spans="1:12">
      <c r="A24" s="449"/>
      <c r="B24" s="239" t="s">
        <v>74</v>
      </c>
      <c r="C24" s="238" t="s">
        <v>72</v>
      </c>
      <c r="D24" s="240"/>
      <c r="E24" s="240"/>
      <c r="F24" s="240"/>
      <c r="G24" s="240"/>
      <c r="H24" s="240"/>
      <c r="I24" s="240"/>
      <c r="J24" s="240"/>
      <c r="K24" s="240">
        <f t="shared" si="7"/>
        <v>0</v>
      </c>
      <c r="L24" s="451"/>
    </row>
    <row r="25" spans="1:12">
      <c r="A25" s="449"/>
      <c r="B25" s="239" t="s">
        <v>75</v>
      </c>
      <c r="C25" s="238" t="s">
        <v>72</v>
      </c>
      <c r="D25" s="240"/>
      <c r="E25" s="240"/>
      <c r="F25" s="240"/>
      <c r="G25" s="240"/>
      <c r="H25" s="240"/>
      <c r="I25" s="240"/>
      <c r="J25" s="240"/>
      <c r="K25" s="240">
        <f t="shared" si="7"/>
        <v>0</v>
      </c>
      <c r="L25" s="451"/>
    </row>
    <row r="26" spans="1:12" ht="27">
      <c r="A26" s="452" t="s">
        <v>30</v>
      </c>
      <c r="B26" s="450" t="s">
        <v>76</v>
      </c>
      <c r="C26" s="238"/>
      <c r="D26" s="240">
        <f t="shared" ref="D26:J26" si="8">SUM(D27:D29)</f>
        <v>0</v>
      </c>
      <c r="E26" s="240">
        <f t="shared" si="8"/>
        <v>0</v>
      </c>
      <c r="F26" s="240">
        <f t="shared" si="8"/>
        <v>0</v>
      </c>
      <c r="G26" s="240">
        <f t="shared" si="8"/>
        <v>0</v>
      </c>
      <c r="H26" s="240">
        <f t="shared" si="8"/>
        <v>0</v>
      </c>
      <c r="I26" s="240">
        <f t="shared" si="8"/>
        <v>0</v>
      </c>
      <c r="J26" s="240">
        <f t="shared" si="8"/>
        <v>0</v>
      </c>
      <c r="K26" s="240">
        <f t="shared" si="7"/>
        <v>0</v>
      </c>
      <c r="L26" s="451"/>
    </row>
    <row r="27" spans="1:12">
      <c r="A27" s="449"/>
      <c r="B27" s="239" t="s">
        <v>73</v>
      </c>
      <c r="C27" s="238" t="s">
        <v>72</v>
      </c>
      <c r="D27" s="240"/>
      <c r="E27" s="240"/>
      <c r="F27" s="240"/>
      <c r="G27" s="240"/>
      <c r="H27" s="240"/>
      <c r="I27" s="240"/>
      <c r="J27" s="240"/>
      <c r="K27" s="240">
        <f t="shared" si="7"/>
        <v>0</v>
      </c>
      <c r="L27" s="451"/>
    </row>
    <row r="28" spans="1:12">
      <c r="A28" s="449"/>
      <c r="B28" s="239" t="s">
        <v>74</v>
      </c>
      <c r="C28" s="238" t="s">
        <v>72</v>
      </c>
      <c r="D28" s="240"/>
      <c r="E28" s="240"/>
      <c r="F28" s="240"/>
      <c r="G28" s="240"/>
      <c r="H28" s="240"/>
      <c r="I28" s="240"/>
      <c r="J28" s="240"/>
      <c r="K28" s="240">
        <f t="shared" si="7"/>
        <v>0</v>
      </c>
      <c r="L28" s="451"/>
    </row>
    <row r="29" spans="1:12">
      <c r="A29" s="449"/>
      <c r="B29" s="239" t="s">
        <v>75</v>
      </c>
      <c r="C29" s="238" t="s">
        <v>72</v>
      </c>
      <c r="D29" s="240"/>
      <c r="E29" s="240"/>
      <c r="F29" s="240"/>
      <c r="G29" s="240"/>
      <c r="H29" s="240"/>
      <c r="I29" s="240"/>
      <c r="J29" s="240"/>
      <c r="K29" s="240">
        <f t="shared" si="7"/>
        <v>0</v>
      </c>
      <c r="L29" s="451"/>
    </row>
    <row r="30" spans="1:12" ht="27">
      <c r="A30" s="452" t="s">
        <v>32</v>
      </c>
      <c r="B30" s="453" t="s">
        <v>86</v>
      </c>
      <c r="C30" s="238" t="s">
        <v>23</v>
      </c>
      <c r="D30" s="240"/>
      <c r="E30" s="240"/>
      <c r="F30" s="240"/>
      <c r="G30" s="240"/>
      <c r="H30" s="240"/>
      <c r="I30" s="240"/>
      <c r="J30" s="240"/>
      <c r="K30" s="240">
        <f t="shared" si="7"/>
        <v>0</v>
      </c>
      <c r="L30" s="451"/>
    </row>
    <row r="31" spans="1:12">
      <c r="A31" s="452"/>
      <c r="B31" s="239" t="s">
        <v>78</v>
      </c>
      <c r="C31" s="238"/>
      <c r="D31" s="240"/>
      <c r="E31" s="240"/>
      <c r="F31" s="240"/>
      <c r="G31" s="240"/>
      <c r="H31" s="240"/>
      <c r="I31" s="240"/>
      <c r="J31" s="240"/>
      <c r="K31" s="240">
        <f t="shared" si="7"/>
        <v>0</v>
      </c>
      <c r="L31" s="451"/>
    </row>
    <row r="32" spans="1:12" ht="40.5">
      <c r="A32" s="452" t="s">
        <v>35</v>
      </c>
      <c r="B32" s="450" t="s">
        <v>36</v>
      </c>
      <c r="C32" s="454" t="s">
        <v>23</v>
      </c>
      <c r="D32" s="455">
        <f t="shared" ref="D32:J32" si="9">SUM(D33:D35)</f>
        <v>0</v>
      </c>
      <c r="E32" s="455">
        <f t="shared" si="9"/>
        <v>0</v>
      </c>
      <c r="F32" s="455">
        <f t="shared" si="9"/>
        <v>0</v>
      </c>
      <c r="G32" s="455">
        <f t="shared" si="9"/>
        <v>0</v>
      </c>
      <c r="H32" s="455">
        <f t="shared" si="9"/>
        <v>0</v>
      </c>
      <c r="I32" s="455">
        <f t="shared" si="9"/>
        <v>0</v>
      </c>
      <c r="J32" s="455">
        <f t="shared" si="9"/>
        <v>0</v>
      </c>
      <c r="K32" s="455">
        <f t="shared" si="7"/>
        <v>0</v>
      </c>
      <c r="L32" s="456"/>
    </row>
    <row r="33" spans="1:12">
      <c r="A33" s="449"/>
      <c r="B33" s="239" t="s">
        <v>80</v>
      </c>
      <c r="C33" s="238" t="s">
        <v>23</v>
      </c>
      <c r="D33" s="240">
        <f>+D24-D28</f>
        <v>0</v>
      </c>
      <c r="E33" s="240">
        <f t="shared" ref="E33:J33" si="10">E23-E27</f>
        <v>0</v>
      </c>
      <c r="F33" s="240">
        <f t="shared" si="10"/>
        <v>0</v>
      </c>
      <c r="G33" s="240">
        <f t="shared" si="10"/>
        <v>0</v>
      </c>
      <c r="H33" s="240">
        <f t="shared" si="10"/>
        <v>0</v>
      </c>
      <c r="I33" s="240">
        <f t="shared" si="10"/>
        <v>0</v>
      </c>
      <c r="J33" s="240">
        <f t="shared" si="10"/>
        <v>0</v>
      </c>
      <c r="K33" s="240">
        <f t="shared" si="7"/>
        <v>0</v>
      </c>
      <c r="L33" s="451"/>
    </row>
    <row r="34" spans="1:12">
      <c r="A34" s="449"/>
      <c r="B34" s="239" t="s">
        <v>81</v>
      </c>
      <c r="C34" s="238" t="s">
        <v>23</v>
      </c>
      <c r="D34" s="240">
        <f>+D25-D29</f>
        <v>0</v>
      </c>
      <c r="E34" s="240">
        <f t="shared" ref="E34:J35" si="11">+E24-E28</f>
        <v>0</v>
      </c>
      <c r="F34" s="240">
        <f t="shared" si="11"/>
        <v>0</v>
      </c>
      <c r="G34" s="240">
        <f t="shared" si="11"/>
        <v>0</v>
      </c>
      <c r="H34" s="240">
        <f t="shared" si="11"/>
        <v>0</v>
      </c>
      <c r="I34" s="240">
        <f t="shared" si="11"/>
        <v>0</v>
      </c>
      <c r="J34" s="240">
        <f t="shared" si="11"/>
        <v>0</v>
      </c>
      <c r="K34" s="240">
        <f t="shared" si="7"/>
        <v>0</v>
      </c>
      <c r="L34" s="451"/>
    </row>
    <row r="35" spans="1:12" ht="14.5" thickBot="1">
      <c r="A35" s="460"/>
      <c r="B35" s="461" t="s">
        <v>82</v>
      </c>
      <c r="C35" s="462" t="s">
        <v>23</v>
      </c>
      <c r="D35" s="463">
        <f>+D31</f>
        <v>0</v>
      </c>
      <c r="E35" s="463">
        <f t="shared" si="11"/>
        <v>0</v>
      </c>
      <c r="F35" s="463">
        <f t="shared" si="11"/>
        <v>0</v>
      </c>
      <c r="G35" s="463">
        <f t="shared" si="11"/>
        <v>0</v>
      </c>
      <c r="H35" s="463">
        <f t="shared" si="11"/>
        <v>0</v>
      </c>
      <c r="I35" s="463">
        <f t="shared" si="11"/>
        <v>0</v>
      </c>
      <c r="J35" s="463">
        <f t="shared" si="11"/>
        <v>0</v>
      </c>
      <c r="K35" s="463">
        <f t="shared" si="7"/>
        <v>0</v>
      </c>
      <c r="L35" s="464"/>
    </row>
    <row r="36" spans="1:12" ht="14.5" thickTop="1">
      <c r="A36" s="19"/>
      <c r="B36" s="1"/>
      <c r="C36" s="1"/>
      <c r="D36" s="1"/>
      <c r="E36" s="1"/>
      <c r="F36" s="1"/>
      <c r="G36" s="1"/>
      <c r="H36" s="1"/>
      <c r="I36" s="1"/>
      <c r="J36" s="1320"/>
      <c r="K36" s="1320"/>
      <c r="L36" s="1320"/>
    </row>
    <row r="37" spans="1:12">
      <c r="A37" s="20"/>
      <c r="B37" s="21"/>
      <c r="C37" s="22"/>
      <c r="D37" s="22"/>
      <c r="E37" s="22"/>
      <c r="F37" s="22"/>
      <c r="G37" s="22"/>
      <c r="H37" s="22"/>
      <c r="I37" s="22"/>
      <c r="J37" s="1321" t="s">
        <v>42</v>
      </c>
      <c r="K37" s="1321"/>
      <c r="L37" s="1321"/>
    </row>
    <row r="38" spans="1:12" ht="15.5">
      <c r="A38" s="1314"/>
      <c r="B38" s="1315"/>
      <c r="C38" s="1315"/>
      <c r="D38" s="23"/>
      <c r="E38" s="23"/>
      <c r="F38" s="23"/>
      <c r="G38" s="23"/>
      <c r="H38" s="23"/>
      <c r="I38" s="23"/>
      <c r="J38" s="1297" t="s">
        <v>43</v>
      </c>
      <c r="K38" s="1297"/>
      <c r="L38" s="1297"/>
    </row>
    <row r="39" spans="1:12">
      <c r="A39" s="26"/>
      <c r="B39" s="26"/>
      <c r="C39" s="26"/>
      <c r="D39" s="26"/>
      <c r="E39" s="26"/>
      <c r="F39" s="26"/>
      <c r="G39" s="26"/>
      <c r="H39" s="26"/>
      <c r="I39" s="26"/>
      <c r="J39" s="26"/>
      <c r="K39" s="26"/>
      <c r="L39" s="26"/>
    </row>
    <row r="40" spans="1:12" ht="19">
      <c r="A40" s="33" t="s">
        <v>65</v>
      </c>
      <c r="B40" s="34"/>
      <c r="C40" s="34"/>
      <c r="D40" s="34"/>
      <c r="E40" s="34"/>
      <c r="F40" s="34"/>
      <c r="G40" s="34"/>
      <c r="H40" s="34"/>
      <c r="I40" s="34"/>
      <c r="J40" s="34"/>
      <c r="K40" s="34"/>
      <c r="L40" s="34"/>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67"/>
  <sheetViews>
    <sheetView workbookViewId="0">
      <selection activeCell="D32" sqref="D32"/>
    </sheetView>
  </sheetViews>
  <sheetFormatPr defaultColWidth="8.9140625" defaultRowHeight="14"/>
  <cols>
    <col min="1" max="1" width="4.9140625" customWidth="1"/>
    <col min="2" max="2" width="44.9140625" customWidth="1"/>
    <col min="3" max="3" width="14.9140625" customWidth="1"/>
    <col min="4" max="4" width="18.4140625" customWidth="1"/>
    <col min="5" max="11" width="0" hidden="1" customWidth="1"/>
    <col min="12" max="12" width="27.4140625" customWidth="1"/>
  </cols>
  <sheetData>
    <row r="1" spans="1:12">
      <c r="A1" s="1317" t="s">
        <v>0</v>
      </c>
      <c r="B1" s="1317"/>
      <c r="C1" s="1"/>
      <c r="D1" s="1"/>
      <c r="E1" s="1"/>
      <c r="F1" s="1"/>
      <c r="G1" s="1"/>
      <c r="H1" s="1"/>
      <c r="I1" s="1"/>
      <c r="J1" s="1"/>
      <c r="K1" s="1316" t="s">
        <v>1</v>
      </c>
      <c r="L1" s="1316"/>
    </row>
    <row r="2" spans="1:12">
      <c r="A2" s="1319" t="s">
        <v>2</v>
      </c>
      <c r="B2" s="1319"/>
      <c r="C2" s="1"/>
      <c r="D2" s="1"/>
      <c r="E2" s="1"/>
      <c r="F2" s="1"/>
      <c r="G2" s="1"/>
      <c r="H2" s="1"/>
      <c r="I2" s="1"/>
      <c r="J2" s="1"/>
      <c r="K2" s="2"/>
      <c r="L2" s="2"/>
    </row>
    <row r="3" spans="1:12">
      <c r="A3" s="1302" t="s">
        <v>468</v>
      </c>
      <c r="B3" s="1302"/>
      <c r="C3" s="1302"/>
      <c r="D3" s="1302"/>
      <c r="E3" s="1302"/>
      <c r="F3" s="1302"/>
      <c r="G3" s="1302"/>
      <c r="H3" s="1302"/>
      <c r="I3" s="1302"/>
      <c r="J3" s="1302"/>
      <c r="K3" s="1302"/>
      <c r="L3" s="1302"/>
    </row>
    <row r="4" spans="1:12" ht="14.5" thickBot="1">
      <c r="A4" s="3"/>
      <c r="B4" s="3"/>
      <c r="C4" s="3"/>
      <c r="D4" s="3"/>
      <c r="E4" s="3"/>
      <c r="F4" s="3"/>
      <c r="G4" s="3"/>
      <c r="H4" s="3"/>
      <c r="I4" s="3"/>
      <c r="J4" s="3"/>
      <c r="K4" s="3"/>
      <c r="L4" s="4" t="s">
        <v>4</v>
      </c>
    </row>
    <row r="5" spans="1:12" ht="26.5" thickTop="1">
      <c r="A5" s="5" t="s">
        <v>5</v>
      </c>
      <c r="B5" s="6" t="s">
        <v>6</v>
      </c>
      <c r="C5" s="6" t="s">
        <v>7</v>
      </c>
      <c r="D5" s="6" t="s">
        <v>69</v>
      </c>
      <c r="E5" s="6" t="s">
        <v>9</v>
      </c>
      <c r="F5" s="6" t="s">
        <v>10</v>
      </c>
      <c r="G5" s="6" t="s">
        <v>11</v>
      </c>
      <c r="H5" s="6" t="s">
        <v>12</v>
      </c>
      <c r="I5" s="6" t="s">
        <v>13</v>
      </c>
      <c r="J5" s="6" t="s">
        <v>14</v>
      </c>
      <c r="K5" s="6" t="s">
        <v>15</v>
      </c>
      <c r="L5" s="7" t="s">
        <v>16</v>
      </c>
    </row>
    <row r="6" spans="1:12">
      <c r="A6" s="35" t="s">
        <v>19</v>
      </c>
      <c r="B6" s="36" t="s">
        <v>87</v>
      </c>
      <c r="C6" s="37"/>
      <c r="D6" s="38"/>
      <c r="E6" s="38"/>
      <c r="F6" s="38"/>
      <c r="G6" s="38"/>
      <c r="H6" s="38"/>
      <c r="I6" s="38"/>
      <c r="J6" s="38"/>
      <c r="K6" s="39"/>
      <c r="L6" s="40"/>
    </row>
    <row r="7" spans="1:12" ht="40.5">
      <c r="A7" s="8" t="s">
        <v>21</v>
      </c>
      <c r="B7" s="9" t="s">
        <v>71</v>
      </c>
      <c r="C7" s="10" t="s">
        <v>88</v>
      </c>
      <c r="D7" s="11">
        <f>SUM(D8:D11)</f>
        <v>0</v>
      </c>
      <c r="E7" s="11">
        <f t="shared" ref="E7:J7" si="0">SUM(E8:E10)</f>
        <v>0</v>
      </c>
      <c r="F7" s="11">
        <f t="shared" si="0"/>
        <v>0</v>
      </c>
      <c r="G7" s="11">
        <f t="shared" si="0"/>
        <v>0</v>
      </c>
      <c r="H7" s="11">
        <f t="shared" si="0"/>
        <v>0</v>
      </c>
      <c r="I7" s="11">
        <f t="shared" si="0"/>
        <v>0</v>
      </c>
      <c r="J7" s="11">
        <f t="shared" si="0"/>
        <v>0</v>
      </c>
      <c r="K7" s="11">
        <f>SUM(D7:J7)</f>
        <v>0</v>
      </c>
      <c r="L7" s="12"/>
    </row>
    <row r="8" spans="1:12">
      <c r="A8" s="8"/>
      <c r="B8" s="13" t="s">
        <v>89</v>
      </c>
      <c r="C8" s="10" t="s">
        <v>88</v>
      </c>
      <c r="D8" s="11"/>
      <c r="E8" s="11"/>
      <c r="F8" s="11"/>
      <c r="G8" s="11"/>
      <c r="H8" s="11"/>
      <c r="I8" s="11"/>
      <c r="J8" s="11"/>
      <c r="K8" s="11">
        <f>SUM(D8:J8)</f>
        <v>0</v>
      </c>
      <c r="L8" s="12"/>
    </row>
    <row r="9" spans="1:12">
      <c r="A9" s="8"/>
      <c r="B9" s="13" t="s">
        <v>90</v>
      </c>
      <c r="C9" s="10" t="s">
        <v>88</v>
      </c>
      <c r="D9" s="11"/>
      <c r="E9" s="11"/>
      <c r="F9" s="11"/>
      <c r="G9" s="11"/>
      <c r="H9" s="11"/>
      <c r="I9" s="11"/>
      <c r="J9" s="11"/>
      <c r="K9" s="11">
        <f>SUM(D9:J9)</f>
        <v>0</v>
      </c>
      <c r="L9" s="12"/>
    </row>
    <row r="10" spans="1:12">
      <c r="A10" s="8"/>
      <c r="B10" s="13" t="s">
        <v>91</v>
      </c>
      <c r="C10" s="10" t="s">
        <v>88</v>
      </c>
      <c r="D10" s="11"/>
      <c r="E10" s="11"/>
      <c r="F10" s="11"/>
      <c r="G10" s="11"/>
      <c r="H10" s="11"/>
      <c r="I10" s="11"/>
      <c r="J10" s="11"/>
      <c r="K10" s="11">
        <f>SUM(D10:J10)</f>
        <v>0</v>
      </c>
      <c r="L10" s="12"/>
    </row>
    <row r="11" spans="1:12">
      <c r="A11" s="8"/>
      <c r="B11" s="13" t="s">
        <v>92</v>
      </c>
      <c r="C11" s="10" t="s">
        <v>88</v>
      </c>
      <c r="D11" s="11"/>
      <c r="E11" s="11"/>
      <c r="F11" s="11"/>
      <c r="G11" s="11"/>
      <c r="H11" s="11"/>
      <c r="I11" s="11"/>
      <c r="J11" s="11"/>
      <c r="K11" s="11"/>
      <c r="L11" s="12"/>
    </row>
    <row r="12" spans="1:12" ht="27">
      <c r="A12" s="14" t="s">
        <v>30</v>
      </c>
      <c r="B12" s="9" t="s">
        <v>93</v>
      </c>
      <c r="C12" s="10"/>
      <c r="D12" s="11">
        <f t="shared" ref="D12:J12" si="1">SUM(D13:D15)</f>
        <v>0</v>
      </c>
      <c r="E12" s="11">
        <f t="shared" si="1"/>
        <v>0</v>
      </c>
      <c r="F12" s="11">
        <f t="shared" si="1"/>
        <v>0</v>
      </c>
      <c r="G12" s="11">
        <f t="shared" si="1"/>
        <v>0</v>
      </c>
      <c r="H12" s="11">
        <f t="shared" si="1"/>
        <v>0</v>
      </c>
      <c r="I12" s="11">
        <f t="shared" si="1"/>
        <v>0</v>
      </c>
      <c r="J12" s="11">
        <f t="shared" si="1"/>
        <v>0</v>
      </c>
      <c r="K12" s="11">
        <f>SUM(D12:J12)</f>
        <v>0</v>
      </c>
      <c r="L12" s="12"/>
    </row>
    <row r="13" spans="1:12">
      <c r="A13" s="8"/>
      <c r="B13" s="13" t="s">
        <v>89</v>
      </c>
      <c r="C13" s="10" t="s">
        <v>88</v>
      </c>
      <c r="D13" s="11"/>
      <c r="E13" s="11"/>
      <c r="F13" s="11"/>
      <c r="G13" s="11"/>
      <c r="H13" s="11"/>
      <c r="I13" s="11"/>
      <c r="J13" s="11"/>
      <c r="K13" s="11">
        <f>SUM(D13:J13)</f>
        <v>0</v>
      </c>
      <c r="L13" s="12"/>
    </row>
    <row r="14" spans="1:12">
      <c r="A14" s="8"/>
      <c r="B14" s="13" t="s">
        <v>90</v>
      </c>
      <c r="C14" s="10" t="s">
        <v>88</v>
      </c>
      <c r="D14" s="11"/>
      <c r="E14" s="11"/>
      <c r="F14" s="11"/>
      <c r="G14" s="11"/>
      <c r="H14" s="11"/>
      <c r="I14" s="11"/>
      <c r="J14" s="11"/>
      <c r="K14" s="11">
        <f>SUM(D14:J14)</f>
        <v>0</v>
      </c>
      <c r="L14" s="12"/>
    </row>
    <row r="15" spans="1:12">
      <c r="A15" s="8"/>
      <c r="B15" s="13" t="s">
        <v>91</v>
      </c>
      <c r="C15" s="10" t="s">
        <v>88</v>
      </c>
      <c r="D15" s="11"/>
      <c r="E15" s="11"/>
      <c r="F15" s="11"/>
      <c r="G15" s="11"/>
      <c r="H15" s="11"/>
      <c r="I15" s="11"/>
      <c r="J15" s="11"/>
      <c r="K15" s="11">
        <f>SUM(D15:J15)</f>
        <v>0</v>
      </c>
      <c r="L15" s="12"/>
    </row>
    <row r="16" spans="1:12">
      <c r="A16" s="8"/>
      <c r="B16" s="13" t="s">
        <v>92</v>
      </c>
      <c r="C16" s="10" t="s">
        <v>88</v>
      </c>
      <c r="D16" s="11"/>
      <c r="E16" s="11"/>
      <c r="F16" s="11"/>
      <c r="G16" s="11"/>
      <c r="H16" s="11"/>
      <c r="I16" s="11"/>
      <c r="J16" s="11"/>
      <c r="K16" s="11"/>
      <c r="L16" s="12"/>
    </row>
    <row r="17" spans="1:12" ht="27">
      <c r="A17" s="14" t="s">
        <v>32</v>
      </c>
      <c r="B17" s="15" t="s">
        <v>94</v>
      </c>
      <c r="C17" s="10" t="s">
        <v>88</v>
      </c>
      <c r="D17" s="11"/>
      <c r="E17" s="11"/>
      <c r="F17" s="11"/>
      <c r="G17" s="11"/>
      <c r="H17" s="11"/>
      <c r="I17" s="11"/>
      <c r="J17" s="11"/>
      <c r="K17" s="11">
        <f t="shared" ref="K17:K23" si="2">SUM(D17:J17)</f>
        <v>0</v>
      </c>
      <c r="L17" s="12"/>
    </row>
    <row r="18" spans="1:12">
      <c r="A18" s="14"/>
      <c r="B18" s="13" t="s">
        <v>95</v>
      </c>
      <c r="C18" s="10" t="s">
        <v>88</v>
      </c>
      <c r="D18" s="11"/>
      <c r="E18" s="11"/>
      <c r="F18" s="11"/>
      <c r="G18" s="11"/>
      <c r="H18" s="11"/>
      <c r="I18" s="11"/>
      <c r="J18" s="11"/>
      <c r="K18" s="11">
        <f t="shared" si="2"/>
        <v>0</v>
      </c>
      <c r="L18" s="12"/>
    </row>
    <row r="19" spans="1:12" ht="40.5">
      <c r="A19" s="14" t="s">
        <v>35</v>
      </c>
      <c r="B19" s="9" t="s">
        <v>96</v>
      </c>
      <c r="C19" s="16" t="s">
        <v>23</v>
      </c>
      <c r="D19" s="17">
        <f t="shared" ref="D19:J19" si="3">SUM(D20:D22)</f>
        <v>0</v>
      </c>
      <c r="E19" s="17">
        <f t="shared" si="3"/>
        <v>0</v>
      </c>
      <c r="F19" s="17">
        <f t="shared" si="3"/>
        <v>0</v>
      </c>
      <c r="G19" s="17">
        <f t="shared" si="3"/>
        <v>0</v>
      </c>
      <c r="H19" s="17">
        <f t="shared" si="3"/>
        <v>0</v>
      </c>
      <c r="I19" s="17">
        <f t="shared" si="3"/>
        <v>0</v>
      </c>
      <c r="J19" s="17">
        <f t="shared" si="3"/>
        <v>0</v>
      </c>
      <c r="K19" s="17">
        <f t="shared" si="2"/>
        <v>0</v>
      </c>
      <c r="L19" s="18"/>
    </row>
    <row r="20" spans="1:12">
      <c r="A20" s="8"/>
      <c r="B20" s="13" t="s">
        <v>97</v>
      </c>
      <c r="C20" s="10" t="s">
        <v>88</v>
      </c>
      <c r="D20" s="11"/>
      <c r="E20" s="11"/>
      <c r="F20" s="11"/>
      <c r="G20" s="11"/>
      <c r="H20" s="11"/>
      <c r="I20" s="11"/>
      <c r="J20" s="11"/>
      <c r="K20" s="11">
        <f t="shared" si="2"/>
        <v>0</v>
      </c>
      <c r="L20" s="12"/>
    </row>
    <row r="21" spans="1:12">
      <c r="A21" s="8"/>
      <c r="B21" s="13" t="s">
        <v>98</v>
      </c>
      <c r="C21" s="10" t="s">
        <v>88</v>
      </c>
      <c r="D21" s="11"/>
      <c r="E21" s="11"/>
      <c r="F21" s="11"/>
      <c r="G21" s="11"/>
      <c r="H21" s="11"/>
      <c r="I21" s="11"/>
      <c r="J21" s="11"/>
      <c r="K21" s="11">
        <f t="shared" si="2"/>
        <v>0</v>
      </c>
      <c r="L21" s="12"/>
    </row>
    <row r="22" spans="1:12">
      <c r="A22" s="8"/>
      <c r="B22" s="13" t="s">
        <v>99</v>
      </c>
      <c r="C22" s="10" t="s">
        <v>88</v>
      </c>
      <c r="D22" s="11"/>
      <c r="E22" s="11"/>
      <c r="F22" s="11"/>
      <c r="G22" s="11"/>
      <c r="H22" s="11"/>
      <c r="I22" s="11"/>
      <c r="J22" s="11"/>
      <c r="K22" s="11">
        <f t="shared" si="2"/>
        <v>0</v>
      </c>
      <c r="L22" s="12"/>
    </row>
    <row r="23" spans="1:12">
      <c r="A23" s="14"/>
      <c r="B23" s="13" t="s">
        <v>95</v>
      </c>
      <c r="C23" s="10" t="s">
        <v>88</v>
      </c>
      <c r="D23" s="11"/>
      <c r="E23" s="11"/>
      <c r="F23" s="11"/>
      <c r="G23" s="11"/>
      <c r="H23" s="11"/>
      <c r="I23" s="11"/>
      <c r="J23" s="11"/>
      <c r="K23" s="11">
        <f t="shared" si="2"/>
        <v>0</v>
      </c>
      <c r="L23" s="12"/>
    </row>
    <row r="24" spans="1:12">
      <c r="A24" s="35" t="s">
        <v>19</v>
      </c>
      <c r="B24" s="36" t="s">
        <v>100</v>
      </c>
      <c r="C24" s="37" t="s">
        <v>84</v>
      </c>
      <c r="D24" s="38"/>
      <c r="E24" s="38"/>
      <c r="F24" s="38"/>
      <c r="G24" s="38"/>
      <c r="H24" s="38"/>
      <c r="I24" s="38"/>
      <c r="J24" s="38"/>
      <c r="K24" s="39"/>
      <c r="L24" s="40"/>
    </row>
    <row r="25" spans="1:12" ht="40.5">
      <c r="A25" s="8" t="s">
        <v>21</v>
      </c>
      <c r="B25" s="9" t="s">
        <v>101</v>
      </c>
      <c r="C25" s="10" t="s">
        <v>72</v>
      </c>
      <c r="D25" s="11">
        <f>SUM(D26:D30)</f>
        <v>0</v>
      </c>
      <c r="E25" s="11" t="e">
        <f>SUM(#REF!)</f>
        <v>#REF!</v>
      </c>
      <c r="F25" s="11" t="e">
        <f>SUM(#REF!)</f>
        <v>#REF!</v>
      </c>
      <c r="G25" s="11" t="e">
        <f>SUM(#REF!)</f>
        <v>#REF!</v>
      </c>
      <c r="H25" s="11" t="e">
        <f>SUM(#REF!)</f>
        <v>#REF!</v>
      </c>
      <c r="I25" s="11" t="e">
        <f>SUM(#REF!)</f>
        <v>#REF!</v>
      </c>
      <c r="J25" s="11" t="e">
        <f>SUM(#REF!)</f>
        <v>#REF!</v>
      </c>
      <c r="K25" s="11" t="e">
        <f>SUM(D25:J25)</f>
        <v>#REF!</v>
      </c>
      <c r="L25" s="12"/>
    </row>
    <row r="26" spans="1:12">
      <c r="A26" s="8"/>
      <c r="B26" s="13" t="s">
        <v>102</v>
      </c>
      <c r="C26" s="10" t="s">
        <v>72</v>
      </c>
      <c r="D26" s="11"/>
      <c r="E26" s="11"/>
      <c r="F26" s="11"/>
      <c r="G26" s="11"/>
      <c r="H26" s="11"/>
      <c r="I26" s="11"/>
      <c r="J26" s="11"/>
      <c r="K26" s="11">
        <f>SUM(D26:J26)</f>
        <v>0</v>
      </c>
      <c r="L26" s="12"/>
    </row>
    <row r="27" spans="1:12">
      <c r="A27" s="8"/>
      <c r="B27" s="13" t="s">
        <v>103</v>
      </c>
      <c r="C27" s="10" t="s">
        <v>72</v>
      </c>
      <c r="D27" s="11"/>
      <c r="E27" s="11"/>
      <c r="F27" s="11"/>
      <c r="G27" s="11"/>
      <c r="H27" s="11"/>
      <c r="I27" s="11"/>
      <c r="J27" s="11"/>
      <c r="K27" s="11">
        <f>SUM(D27:J27)</f>
        <v>0</v>
      </c>
      <c r="L27" s="12"/>
    </row>
    <row r="28" spans="1:12">
      <c r="A28" s="8"/>
      <c r="B28" s="13" t="s">
        <v>104</v>
      </c>
      <c r="C28" s="10" t="s">
        <v>72</v>
      </c>
      <c r="D28" s="11"/>
      <c r="E28" s="11"/>
      <c r="F28" s="11"/>
      <c r="G28" s="11"/>
      <c r="H28" s="11"/>
      <c r="I28" s="11"/>
      <c r="J28" s="11"/>
      <c r="K28" s="11">
        <f>SUM(D28:J28)</f>
        <v>0</v>
      </c>
      <c r="L28" s="12"/>
    </row>
    <row r="29" spans="1:12">
      <c r="A29" s="8"/>
      <c r="B29" s="13" t="s">
        <v>105</v>
      </c>
      <c r="C29" s="10" t="s">
        <v>72</v>
      </c>
      <c r="D29" s="11"/>
      <c r="E29" s="11"/>
      <c r="F29" s="11"/>
      <c r="G29" s="11"/>
      <c r="H29" s="11"/>
      <c r="I29" s="11"/>
      <c r="J29" s="11"/>
      <c r="K29" s="11"/>
      <c r="L29" s="12"/>
    </row>
    <row r="30" spans="1:12">
      <c r="A30" s="8"/>
      <c r="B30" s="13" t="s">
        <v>106</v>
      </c>
      <c r="C30" s="10" t="s">
        <v>72</v>
      </c>
      <c r="D30" s="11"/>
      <c r="E30" s="11"/>
      <c r="F30" s="11"/>
      <c r="G30" s="11"/>
      <c r="H30" s="11"/>
      <c r="I30" s="11"/>
      <c r="J30" s="11"/>
      <c r="K30" s="11"/>
      <c r="L30" s="12"/>
    </row>
    <row r="31" spans="1:12" ht="27">
      <c r="A31" s="14" t="s">
        <v>30</v>
      </c>
      <c r="B31" s="9" t="s">
        <v>76</v>
      </c>
      <c r="C31" s="10"/>
      <c r="D31" s="11">
        <f>SUM(D32:D36)</f>
        <v>0</v>
      </c>
      <c r="E31" s="11">
        <f t="shared" ref="E31:J31" si="4">SUM(E32:E34)</f>
        <v>0</v>
      </c>
      <c r="F31" s="11">
        <f t="shared" si="4"/>
        <v>0</v>
      </c>
      <c r="G31" s="11">
        <f t="shared" si="4"/>
        <v>0</v>
      </c>
      <c r="H31" s="11">
        <f t="shared" si="4"/>
        <v>0</v>
      </c>
      <c r="I31" s="11">
        <f t="shared" si="4"/>
        <v>0</v>
      </c>
      <c r="J31" s="11">
        <f t="shared" si="4"/>
        <v>0</v>
      </c>
      <c r="K31" s="11">
        <f>SUM(D31:J31)</f>
        <v>0</v>
      </c>
      <c r="L31" s="12"/>
    </row>
    <row r="32" spans="1:12">
      <c r="A32" s="8"/>
      <c r="B32" s="13" t="s">
        <v>102</v>
      </c>
      <c r="C32" s="10" t="s">
        <v>72</v>
      </c>
      <c r="D32" s="11"/>
      <c r="E32" s="11"/>
      <c r="F32" s="11"/>
      <c r="G32" s="11"/>
      <c r="H32" s="11"/>
      <c r="I32" s="11"/>
      <c r="J32" s="11"/>
      <c r="K32" s="11">
        <f>SUM(D32:J32)</f>
        <v>0</v>
      </c>
      <c r="L32" s="12"/>
    </row>
    <row r="33" spans="1:12">
      <c r="A33" s="8"/>
      <c r="B33" s="13" t="s">
        <v>103</v>
      </c>
      <c r="C33" s="10" t="s">
        <v>72</v>
      </c>
      <c r="D33" s="11"/>
      <c r="E33" s="11"/>
      <c r="F33" s="11"/>
      <c r="G33" s="11"/>
      <c r="H33" s="11"/>
      <c r="I33" s="11"/>
      <c r="J33" s="11"/>
      <c r="K33" s="11">
        <f>SUM(D33:J33)</f>
        <v>0</v>
      </c>
      <c r="L33" s="12"/>
    </row>
    <row r="34" spans="1:12">
      <c r="A34" s="8"/>
      <c r="B34" s="13" t="s">
        <v>104</v>
      </c>
      <c r="C34" s="10" t="s">
        <v>72</v>
      </c>
      <c r="D34" s="11"/>
      <c r="E34" s="11"/>
      <c r="F34" s="11"/>
      <c r="G34" s="11"/>
      <c r="H34" s="11"/>
      <c r="I34" s="11"/>
      <c r="J34" s="11"/>
      <c r="K34" s="11">
        <f>SUM(D34:J34)</f>
        <v>0</v>
      </c>
      <c r="L34" s="12"/>
    </row>
    <row r="35" spans="1:12">
      <c r="A35" s="8"/>
      <c r="B35" s="13" t="s">
        <v>105</v>
      </c>
      <c r="C35" s="10" t="s">
        <v>72</v>
      </c>
      <c r="D35" s="11"/>
      <c r="E35" s="11"/>
      <c r="F35" s="11"/>
      <c r="G35" s="11"/>
      <c r="H35" s="11"/>
      <c r="I35" s="11"/>
      <c r="J35" s="11"/>
      <c r="K35" s="11"/>
      <c r="L35" s="12"/>
    </row>
    <row r="36" spans="1:12">
      <c r="A36" s="8"/>
      <c r="B36" s="13" t="s">
        <v>106</v>
      </c>
      <c r="C36" s="10" t="s">
        <v>72</v>
      </c>
      <c r="D36" s="11"/>
      <c r="E36" s="11"/>
      <c r="F36" s="11"/>
      <c r="G36" s="11"/>
      <c r="H36" s="11"/>
      <c r="I36" s="11"/>
      <c r="J36" s="11"/>
      <c r="K36" s="11"/>
      <c r="L36" s="12"/>
    </row>
    <row r="37" spans="1:12" ht="27">
      <c r="A37" s="14" t="s">
        <v>32</v>
      </c>
      <c r="B37" s="15" t="s">
        <v>86</v>
      </c>
      <c r="C37" s="10" t="s">
        <v>23</v>
      </c>
      <c r="D37" s="11"/>
      <c r="E37" s="11"/>
      <c r="F37" s="11"/>
      <c r="G37" s="11"/>
      <c r="H37" s="11"/>
      <c r="I37" s="11"/>
      <c r="J37" s="11"/>
      <c r="K37" s="11">
        <f t="shared" ref="K37:K42" si="5">SUM(D37:J37)</f>
        <v>0</v>
      </c>
      <c r="L37" s="12"/>
    </row>
    <row r="38" spans="1:12">
      <c r="A38" s="14"/>
      <c r="B38" s="13" t="s">
        <v>107</v>
      </c>
      <c r="C38" s="10"/>
      <c r="D38" s="11"/>
      <c r="E38" s="11"/>
      <c r="F38" s="11"/>
      <c r="G38" s="11"/>
      <c r="H38" s="11"/>
      <c r="I38" s="11"/>
      <c r="J38" s="11"/>
      <c r="K38" s="11">
        <f t="shared" si="5"/>
        <v>0</v>
      </c>
      <c r="L38" s="12"/>
    </row>
    <row r="39" spans="1:12" ht="40.5">
      <c r="A39" s="14" t="s">
        <v>35</v>
      </c>
      <c r="B39" s="9" t="s">
        <v>108</v>
      </c>
      <c r="C39" s="16" t="s">
        <v>23</v>
      </c>
      <c r="D39" s="17" t="e">
        <f>SUM(#REF!)</f>
        <v>#REF!</v>
      </c>
      <c r="E39" s="17" t="e">
        <f>SUM(#REF!)</f>
        <v>#REF!</v>
      </c>
      <c r="F39" s="17" t="e">
        <f>SUM(#REF!)</f>
        <v>#REF!</v>
      </c>
      <c r="G39" s="17" t="e">
        <f>SUM(#REF!)</f>
        <v>#REF!</v>
      </c>
      <c r="H39" s="17" t="e">
        <f>SUM(#REF!)</f>
        <v>#REF!</v>
      </c>
      <c r="I39" s="17" t="e">
        <f>SUM(#REF!)</f>
        <v>#REF!</v>
      </c>
      <c r="J39" s="17" t="e">
        <f>SUM(#REF!)</f>
        <v>#REF!</v>
      </c>
      <c r="K39" s="17" t="e">
        <f t="shared" si="5"/>
        <v>#REF!</v>
      </c>
      <c r="L39" s="18"/>
    </row>
    <row r="40" spans="1:12">
      <c r="A40" s="8"/>
      <c r="B40" s="13" t="s">
        <v>109</v>
      </c>
      <c r="C40" s="10" t="s">
        <v>72</v>
      </c>
      <c r="D40" s="11"/>
      <c r="E40" s="11"/>
      <c r="F40" s="11"/>
      <c r="G40" s="11"/>
      <c r="H40" s="11"/>
      <c r="I40" s="11"/>
      <c r="J40" s="11"/>
      <c r="K40" s="11">
        <f t="shared" si="5"/>
        <v>0</v>
      </c>
      <c r="L40" s="12"/>
    </row>
    <row r="41" spans="1:12">
      <c r="A41" s="8"/>
      <c r="B41" s="13" t="s">
        <v>110</v>
      </c>
      <c r="C41" s="10" t="s">
        <v>72</v>
      </c>
      <c r="D41" s="11"/>
      <c r="E41" s="11"/>
      <c r="F41" s="11"/>
      <c r="G41" s="11"/>
      <c r="H41" s="11"/>
      <c r="I41" s="11"/>
      <c r="J41" s="11"/>
      <c r="K41" s="11">
        <f t="shared" si="5"/>
        <v>0</v>
      </c>
      <c r="L41" s="12"/>
    </row>
    <row r="42" spans="1:12">
      <c r="A42" s="8"/>
      <c r="B42" s="13" t="s">
        <v>111</v>
      </c>
      <c r="C42" s="10" t="s">
        <v>72</v>
      </c>
      <c r="D42" s="11"/>
      <c r="E42" s="11"/>
      <c r="F42" s="11"/>
      <c r="G42" s="11"/>
      <c r="H42" s="11"/>
      <c r="I42" s="11"/>
      <c r="J42" s="11"/>
      <c r="K42" s="11">
        <f t="shared" si="5"/>
        <v>0</v>
      </c>
      <c r="L42" s="12"/>
    </row>
    <row r="43" spans="1:12">
      <c r="A43" s="8"/>
      <c r="B43" s="13" t="s">
        <v>112</v>
      </c>
      <c r="C43" s="10" t="s">
        <v>72</v>
      </c>
      <c r="D43" s="11"/>
      <c r="E43" s="11"/>
      <c r="F43" s="11"/>
      <c r="G43" s="11"/>
      <c r="H43" s="11"/>
      <c r="I43" s="11"/>
      <c r="J43" s="11"/>
      <c r="K43" s="11"/>
      <c r="L43" s="12"/>
    </row>
    <row r="44" spans="1:12">
      <c r="A44" s="8"/>
      <c r="B44" s="13" t="s">
        <v>107</v>
      </c>
      <c r="C44" s="10" t="s">
        <v>72</v>
      </c>
      <c r="D44" s="11"/>
      <c r="E44" s="11"/>
      <c r="F44" s="11"/>
      <c r="G44" s="11"/>
      <c r="H44" s="11"/>
      <c r="I44" s="11"/>
      <c r="J44" s="11"/>
      <c r="K44" s="11"/>
      <c r="L44" s="12"/>
    </row>
    <row r="45" spans="1:12">
      <c r="A45" s="35" t="s">
        <v>113</v>
      </c>
      <c r="B45" s="36" t="s">
        <v>114</v>
      </c>
      <c r="C45" s="37" t="s">
        <v>84</v>
      </c>
      <c r="D45" s="38"/>
      <c r="E45" s="38"/>
      <c r="F45" s="38"/>
      <c r="G45" s="38"/>
      <c r="H45" s="38"/>
      <c r="I45" s="38"/>
      <c r="J45" s="38"/>
      <c r="K45" s="39"/>
      <c r="L45" s="40"/>
    </row>
    <row r="46" spans="1:12" ht="40.5">
      <c r="A46" s="8" t="s">
        <v>21</v>
      </c>
      <c r="B46" s="9" t="s">
        <v>101</v>
      </c>
      <c r="C46" s="10" t="s">
        <v>72</v>
      </c>
      <c r="D46" s="11">
        <f>SUM(D63:D67)</f>
        <v>0</v>
      </c>
      <c r="E46" s="11" t="e">
        <f>SUM(#REF!)</f>
        <v>#REF!</v>
      </c>
      <c r="F46" s="11" t="e">
        <f>SUM(#REF!)</f>
        <v>#REF!</v>
      </c>
      <c r="G46" s="11" t="e">
        <f>SUM(#REF!)</f>
        <v>#REF!</v>
      </c>
      <c r="H46" s="11" t="e">
        <f>SUM(#REF!)</f>
        <v>#REF!</v>
      </c>
      <c r="I46" s="11" t="e">
        <f>SUM(#REF!)</f>
        <v>#REF!</v>
      </c>
      <c r="J46" s="11" t="e">
        <f>SUM(#REF!)</f>
        <v>#REF!</v>
      </c>
      <c r="K46" s="11" t="e">
        <f>SUM(D46:J46)</f>
        <v>#REF!</v>
      </c>
      <c r="L46" s="12"/>
    </row>
    <row r="47" spans="1:12">
      <c r="A47" s="8"/>
      <c r="B47" s="13" t="s">
        <v>115</v>
      </c>
      <c r="C47" s="10" t="s">
        <v>72</v>
      </c>
      <c r="D47" s="11"/>
      <c r="E47" s="11"/>
      <c r="F47" s="11"/>
      <c r="G47" s="11"/>
      <c r="H47" s="11"/>
      <c r="I47" s="11"/>
      <c r="J47" s="11"/>
      <c r="K47" s="11">
        <f>SUM(D47:J47)</f>
        <v>0</v>
      </c>
      <c r="L47" s="12"/>
    </row>
    <row r="48" spans="1:12">
      <c r="A48" s="8"/>
      <c r="B48" s="13" t="s">
        <v>116</v>
      </c>
      <c r="C48" s="10" t="s">
        <v>72</v>
      </c>
      <c r="D48" s="11"/>
      <c r="E48" s="11"/>
      <c r="F48" s="11"/>
      <c r="G48" s="11"/>
      <c r="H48" s="11"/>
      <c r="I48" s="11"/>
      <c r="J48" s="11"/>
      <c r="K48" s="11">
        <f>SUM(D48:J48)</f>
        <v>0</v>
      </c>
      <c r="L48" s="12"/>
    </row>
    <row r="49" spans="1:12">
      <c r="A49" s="8"/>
      <c r="B49" s="13" t="s">
        <v>117</v>
      </c>
      <c r="C49" s="10" t="s">
        <v>72</v>
      </c>
      <c r="D49" s="11"/>
      <c r="E49" s="11"/>
      <c r="F49" s="11"/>
      <c r="G49" s="11"/>
      <c r="H49" s="11"/>
      <c r="I49" s="11"/>
      <c r="J49" s="11"/>
      <c r="K49" s="11"/>
      <c r="L49" s="12"/>
    </row>
    <row r="50" spans="1:12">
      <c r="A50" s="8"/>
      <c r="B50" s="13" t="s">
        <v>118</v>
      </c>
      <c r="C50" s="10" t="s">
        <v>72</v>
      </c>
      <c r="D50" s="11"/>
      <c r="E50" s="11"/>
      <c r="F50" s="11"/>
      <c r="G50" s="11"/>
      <c r="H50" s="11"/>
      <c r="I50" s="11"/>
      <c r="J50" s="11"/>
      <c r="K50" s="11"/>
      <c r="L50" s="12"/>
    </row>
    <row r="51" spans="1:12" ht="27">
      <c r="A51" s="14" t="s">
        <v>30</v>
      </c>
      <c r="B51" s="9" t="s">
        <v>76</v>
      </c>
      <c r="C51" s="10"/>
      <c r="D51" s="11">
        <f>SUM(D52:D55)</f>
        <v>0</v>
      </c>
      <c r="E51" s="11">
        <f t="shared" ref="E51:J51" si="6">SUM(E63:E65)</f>
        <v>0</v>
      </c>
      <c r="F51" s="11">
        <f t="shared" si="6"/>
        <v>0</v>
      </c>
      <c r="G51" s="11">
        <f t="shared" si="6"/>
        <v>0</v>
      </c>
      <c r="H51" s="11">
        <f t="shared" si="6"/>
        <v>0</v>
      </c>
      <c r="I51" s="11">
        <f t="shared" si="6"/>
        <v>0</v>
      </c>
      <c r="J51" s="11">
        <f t="shared" si="6"/>
        <v>0</v>
      </c>
      <c r="K51" s="11">
        <f>SUM(D51:J51)</f>
        <v>0</v>
      </c>
      <c r="L51" s="12"/>
    </row>
    <row r="52" spans="1:12">
      <c r="A52" s="8"/>
      <c r="B52" s="13" t="s">
        <v>115</v>
      </c>
      <c r="C52" s="10" t="s">
        <v>72</v>
      </c>
      <c r="D52" s="11"/>
      <c r="E52" s="11"/>
      <c r="F52" s="11"/>
      <c r="G52" s="11"/>
      <c r="H52" s="11"/>
      <c r="I52" s="11"/>
      <c r="J52" s="11"/>
      <c r="K52" s="11">
        <f>SUM(D52:J52)</f>
        <v>0</v>
      </c>
      <c r="L52" s="12"/>
    </row>
    <row r="53" spans="1:12">
      <c r="A53" s="8"/>
      <c r="B53" s="13" t="s">
        <v>116</v>
      </c>
      <c r="C53" s="10" t="s">
        <v>72</v>
      </c>
      <c r="D53" s="11"/>
      <c r="E53" s="11"/>
      <c r="F53" s="11"/>
      <c r="G53" s="11"/>
      <c r="H53" s="11"/>
      <c r="I53" s="11"/>
      <c r="J53" s="11"/>
      <c r="K53" s="11">
        <f>SUM(D53:J53)</f>
        <v>0</v>
      </c>
      <c r="L53" s="12"/>
    </row>
    <row r="54" spans="1:12">
      <c r="A54" s="8"/>
      <c r="B54" s="13" t="s">
        <v>117</v>
      </c>
      <c r="C54" s="10" t="s">
        <v>72</v>
      </c>
      <c r="D54" s="11"/>
      <c r="E54" s="11"/>
      <c r="F54" s="11"/>
      <c r="G54" s="11"/>
      <c r="H54" s="11"/>
      <c r="I54" s="11"/>
      <c r="J54" s="11"/>
      <c r="K54" s="11"/>
      <c r="L54" s="12"/>
    </row>
    <row r="55" spans="1:12">
      <c r="A55" s="8"/>
      <c r="B55" s="13" t="s">
        <v>118</v>
      </c>
      <c r="C55" s="10" t="s">
        <v>72</v>
      </c>
      <c r="D55" s="11"/>
      <c r="E55" s="11"/>
      <c r="F55" s="11"/>
      <c r="G55" s="11"/>
      <c r="H55" s="11"/>
      <c r="I55" s="11"/>
      <c r="J55" s="11"/>
      <c r="K55" s="11"/>
      <c r="L55" s="12"/>
    </row>
    <row r="56" spans="1:12" ht="27">
      <c r="A56" s="14" t="s">
        <v>32</v>
      </c>
      <c r="B56" s="15" t="s">
        <v>86</v>
      </c>
      <c r="C56" s="10" t="s">
        <v>23</v>
      </c>
      <c r="D56" s="11"/>
      <c r="E56" s="11"/>
      <c r="F56" s="11"/>
      <c r="G56" s="11"/>
      <c r="H56" s="11"/>
      <c r="I56" s="11"/>
      <c r="J56" s="11"/>
      <c r="K56" s="11">
        <f>SUM(D56:J56)</f>
        <v>0</v>
      </c>
      <c r="L56" s="12"/>
    </row>
    <row r="57" spans="1:12">
      <c r="A57" s="14"/>
      <c r="B57" s="13" t="s">
        <v>119</v>
      </c>
      <c r="C57" s="10"/>
      <c r="D57" s="11"/>
      <c r="E57" s="11"/>
      <c r="F57" s="11"/>
      <c r="G57" s="11"/>
      <c r="H57" s="11"/>
      <c r="I57" s="11"/>
      <c r="J57" s="11"/>
      <c r="K57" s="11">
        <f>SUM(D57:J57)</f>
        <v>0</v>
      </c>
      <c r="L57" s="12"/>
    </row>
    <row r="58" spans="1:12" ht="40.5">
      <c r="A58" s="14" t="s">
        <v>35</v>
      </c>
      <c r="B58" s="9" t="s">
        <v>108</v>
      </c>
      <c r="C58" s="16" t="s">
        <v>23</v>
      </c>
      <c r="D58" s="17">
        <f>SUM(D59:D62)</f>
        <v>0</v>
      </c>
      <c r="E58" s="17" t="e">
        <f>SUM(#REF!)</f>
        <v>#REF!</v>
      </c>
      <c r="F58" s="17" t="e">
        <f>SUM(#REF!)</f>
        <v>#REF!</v>
      </c>
      <c r="G58" s="17" t="e">
        <f>SUM(#REF!)</f>
        <v>#REF!</v>
      </c>
      <c r="H58" s="17" t="e">
        <f>SUM(#REF!)</f>
        <v>#REF!</v>
      </c>
      <c r="I58" s="17" t="e">
        <f>SUM(#REF!)</f>
        <v>#REF!</v>
      </c>
      <c r="J58" s="17" t="e">
        <f>SUM(#REF!)</f>
        <v>#REF!</v>
      </c>
      <c r="K58" s="17" t="e">
        <f>SUM(D58:J58)</f>
        <v>#REF!</v>
      </c>
      <c r="L58" s="18"/>
    </row>
    <row r="59" spans="1:12">
      <c r="A59" s="8"/>
      <c r="B59" s="13" t="s">
        <v>120</v>
      </c>
      <c r="C59" s="10" t="s">
        <v>72</v>
      </c>
      <c r="D59" s="11"/>
      <c r="E59" s="11"/>
      <c r="F59" s="11"/>
      <c r="G59" s="11"/>
      <c r="H59" s="11"/>
      <c r="I59" s="11"/>
      <c r="J59" s="11"/>
      <c r="K59" s="11">
        <f>SUM(D59:J59)</f>
        <v>0</v>
      </c>
      <c r="L59" s="12"/>
    </row>
    <row r="60" spans="1:12">
      <c r="A60" s="8"/>
      <c r="B60" s="13" t="s">
        <v>121</v>
      </c>
      <c r="C60" s="10" t="s">
        <v>72</v>
      </c>
      <c r="D60" s="11"/>
      <c r="E60" s="11"/>
      <c r="F60" s="11"/>
      <c r="G60" s="11"/>
      <c r="H60" s="11"/>
      <c r="I60" s="11"/>
      <c r="J60" s="11"/>
      <c r="K60" s="11">
        <f>SUM(D60:J60)</f>
        <v>0</v>
      </c>
      <c r="L60" s="12"/>
    </row>
    <row r="61" spans="1:12">
      <c r="A61" s="8"/>
      <c r="B61" s="13" t="s">
        <v>122</v>
      </c>
      <c r="C61" s="10" t="s">
        <v>72</v>
      </c>
      <c r="D61" s="11"/>
      <c r="E61" s="11"/>
      <c r="F61" s="11"/>
      <c r="G61" s="11"/>
      <c r="H61" s="11"/>
      <c r="I61" s="11"/>
      <c r="J61" s="11"/>
      <c r="K61" s="11"/>
      <c r="L61" s="12"/>
    </row>
    <row r="62" spans="1:12" ht="14.5" thickBot="1">
      <c r="A62" s="465"/>
      <c r="B62" s="466" t="s">
        <v>119</v>
      </c>
      <c r="C62" s="467" t="s">
        <v>72</v>
      </c>
      <c r="D62" s="468"/>
      <c r="E62" s="468"/>
      <c r="F62" s="468"/>
      <c r="G62" s="468"/>
      <c r="H62" s="468"/>
      <c r="I62" s="468"/>
      <c r="J62" s="468"/>
      <c r="K62" s="468">
        <f>SUM(D62:J62)</f>
        <v>0</v>
      </c>
      <c r="L62" s="469"/>
    </row>
    <row r="63" spans="1:12" ht="14.5" thickTop="1">
      <c r="A63" s="19"/>
      <c r="B63" s="1"/>
      <c r="C63" s="1"/>
      <c r="D63" s="1"/>
      <c r="E63" s="1"/>
      <c r="F63" s="1"/>
      <c r="G63" s="1"/>
      <c r="H63" s="1"/>
      <c r="I63" s="1"/>
      <c r="J63" s="1320"/>
      <c r="K63" s="1320"/>
      <c r="L63" s="1320"/>
    </row>
    <row r="64" spans="1:12">
      <c r="A64" s="20"/>
      <c r="B64" s="21"/>
      <c r="C64" s="22"/>
      <c r="D64" s="22"/>
      <c r="E64" s="22"/>
      <c r="F64" s="22"/>
      <c r="G64" s="22"/>
      <c r="H64" s="22"/>
      <c r="I64" s="22"/>
      <c r="J64" s="1321" t="s">
        <v>42</v>
      </c>
      <c r="K64" s="1321"/>
      <c r="L64" s="1321"/>
    </row>
    <row r="65" spans="1:12" ht="15.5">
      <c r="A65" s="1314"/>
      <c r="B65" s="1315"/>
      <c r="C65" s="1315"/>
      <c r="D65" s="23"/>
      <c r="E65" s="23"/>
      <c r="F65" s="23"/>
      <c r="G65" s="23"/>
      <c r="H65" s="23"/>
      <c r="I65" s="23"/>
      <c r="J65" s="1297" t="s">
        <v>43</v>
      </c>
      <c r="K65" s="1297"/>
      <c r="L65" s="1297"/>
    </row>
    <row r="66" spans="1:12">
      <c r="A66" s="26"/>
      <c r="B66" s="26"/>
      <c r="C66" s="26"/>
      <c r="D66" s="26"/>
      <c r="E66" s="26"/>
      <c r="F66" s="26"/>
      <c r="G66" s="26"/>
      <c r="H66" s="26"/>
      <c r="I66" s="26"/>
      <c r="J66" s="26"/>
      <c r="K66" s="26"/>
      <c r="L66" s="26"/>
    </row>
    <row r="67" spans="1:12" ht="19">
      <c r="A67" s="33" t="s">
        <v>65</v>
      </c>
      <c r="B67" s="34"/>
      <c r="C67" s="34"/>
      <c r="D67" s="34"/>
      <c r="E67" s="34"/>
      <c r="F67" s="34"/>
      <c r="G67" s="34"/>
      <c r="H67" s="34"/>
      <c r="I67" s="34"/>
      <c r="J67" s="34"/>
      <c r="K67" s="34"/>
      <c r="L67" s="34"/>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W91"/>
  <sheetViews>
    <sheetView topLeftCell="A10" zoomScaleNormal="160" workbookViewId="0">
      <selection activeCell="H17" sqref="H17"/>
    </sheetView>
  </sheetViews>
  <sheetFormatPr defaultColWidth="8.9140625" defaultRowHeight="14"/>
  <cols>
    <col min="1" max="1" width="4.9140625" style="694" customWidth="1"/>
    <col min="2" max="2" width="42.6640625" style="527" customWidth="1"/>
    <col min="3" max="3" width="8.4140625" style="528" customWidth="1"/>
    <col min="4" max="4" width="22" style="528" customWidth="1"/>
    <col min="5" max="5" width="9" style="528" customWidth="1"/>
    <col min="6" max="6" width="9.6640625" style="528" customWidth="1"/>
    <col min="7" max="7" width="9.33203125" style="528" customWidth="1"/>
    <col min="8" max="8" width="11.9140625" style="528" customWidth="1"/>
    <col min="9" max="9" width="12.9140625" style="529" customWidth="1"/>
    <col min="10" max="10" width="10.4140625" style="528" customWidth="1"/>
    <col min="11" max="11" width="8.4140625" style="528" customWidth="1"/>
    <col min="12" max="12" width="6.9140625" style="528" customWidth="1"/>
    <col min="13" max="13" width="10.33203125" style="528" customWidth="1"/>
    <col min="14" max="14" width="8.33203125" style="528" customWidth="1"/>
    <col min="15" max="15" width="7.08203125" style="698" customWidth="1"/>
    <col min="16" max="16" width="8.4140625" style="528" customWidth="1"/>
    <col min="17" max="17" width="7.6640625" style="528" customWidth="1"/>
    <col min="18" max="18" width="11.08203125" style="503" customWidth="1"/>
    <col min="19" max="16384" width="8.9140625" style="503"/>
  </cols>
  <sheetData>
    <row r="1" spans="1:23" ht="14.25" customHeight="1">
      <c r="A1" s="1312" t="s">
        <v>0</v>
      </c>
      <c r="B1" s="1312"/>
      <c r="C1" s="1312"/>
      <c r="D1" s="1091"/>
      <c r="E1" s="1091"/>
      <c r="F1" s="1091"/>
      <c r="G1" s="1091"/>
      <c r="H1" s="1091"/>
      <c r="I1" s="498"/>
      <c r="J1" s="1338"/>
      <c r="K1" s="1338"/>
      <c r="L1" s="1338"/>
      <c r="M1" s="1338"/>
      <c r="N1" s="1338"/>
      <c r="O1" s="1338"/>
      <c r="P1" s="499"/>
      <c r="Q1" s="499"/>
      <c r="R1" s="500" t="s">
        <v>123</v>
      </c>
      <c r="S1" s="501"/>
      <c r="T1" s="502"/>
      <c r="U1" s="502"/>
      <c r="V1" s="502"/>
      <c r="W1" s="502"/>
    </row>
    <row r="2" spans="1:23">
      <c r="A2" s="1339" t="s">
        <v>808</v>
      </c>
      <c r="B2" s="1339"/>
      <c r="C2" s="1339"/>
      <c r="D2" s="1093"/>
      <c r="E2" s="1093"/>
      <c r="F2" s="1093"/>
      <c r="G2" s="1093"/>
      <c r="H2" s="1093"/>
      <c r="I2" s="498"/>
      <c r="J2" s="1338"/>
      <c r="K2" s="1338"/>
      <c r="L2" s="1338"/>
      <c r="M2" s="1338"/>
      <c r="N2" s="1338"/>
      <c r="O2" s="1338"/>
      <c r="P2" s="499"/>
      <c r="Q2" s="499"/>
      <c r="R2" s="499"/>
      <c r="S2" s="501"/>
      <c r="T2" s="502"/>
      <c r="U2" s="502"/>
      <c r="V2" s="502"/>
      <c r="W2" s="502"/>
    </row>
    <row r="3" spans="1:23" ht="30" customHeight="1">
      <c r="A3" s="1340" t="s">
        <v>633</v>
      </c>
      <c r="B3" s="1340"/>
      <c r="C3" s="1340"/>
      <c r="D3" s="1340"/>
      <c r="E3" s="1340"/>
      <c r="F3" s="1340"/>
      <c r="G3" s="1340"/>
      <c r="H3" s="1340"/>
      <c r="I3" s="1340"/>
      <c r="J3" s="1340"/>
      <c r="K3" s="1340"/>
      <c r="L3" s="1340"/>
      <c r="M3" s="1340"/>
      <c r="N3" s="1340"/>
      <c r="O3" s="1340"/>
      <c r="P3" s="1340"/>
      <c r="Q3" s="1340"/>
      <c r="R3" s="1340"/>
      <c r="S3" s="501"/>
      <c r="T3" s="502"/>
      <c r="U3" s="502"/>
      <c r="V3" s="502"/>
      <c r="W3" s="502"/>
    </row>
    <row r="4" spans="1:23" ht="30" customHeight="1">
      <c r="A4" s="1341" t="s">
        <v>634</v>
      </c>
      <c r="B4" s="1341"/>
      <c r="C4" s="1341"/>
      <c r="D4" s="1341"/>
      <c r="E4" s="1341"/>
      <c r="F4" s="1341"/>
      <c r="G4" s="1341"/>
      <c r="H4" s="1341"/>
      <c r="I4" s="1341"/>
      <c r="J4" s="1341"/>
      <c r="K4" s="1341"/>
      <c r="L4" s="1341"/>
      <c r="M4" s="1341"/>
      <c r="N4" s="1341"/>
      <c r="O4" s="1341"/>
      <c r="P4" s="1341"/>
      <c r="Q4" s="1341"/>
      <c r="R4" s="1341"/>
      <c r="S4" s="501"/>
      <c r="T4" s="502"/>
      <c r="U4" s="502"/>
      <c r="V4" s="502"/>
      <c r="W4" s="502"/>
    </row>
    <row r="5" spans="1:23" ht="30" customHeight="1">
      <c r="A5" s="1337" t="s">
        <v>124</v>
      </c>
      <c r="B5" s="1337"/>
      <c r="C5" s="1337"/>
      <c r="D5" s="1337"/>
      <c r="E5" s="1337"/>
      <c r="F5" s="1337"/>
      <c r="G5" s="1337"/>
      <c r="H5" s="1337"/>
      <c r="I5" s="1337"/>
      <c r="J5" s="1337"/>
      <c r="K5" s="1337"/>
      <c r="L5" s="1337"/>
      <c r="M5" s="1337"/>
      <c r="N5" s="1337"/>
      <c r="O5" s="1337"/>
      <c r="P5" s="1337"/>
      <c r="Q5" s="1337"/>
      <c r="R5" s="1337"/>
      <c r="S5" s="501"/>
      <c r="T5" s="502"/>
      <c r="U5" s="502"/>
      <c r="V5" s="502"/>
      <c r="W5" s="502"/>
    </row>
    <row r="6" spans="1:23" ht="14.5" thickBot="1">
      <c r="A6" s="691"/>
      <c r="B6" s="504"/>
      <c r="C6" s="504"/>
      <c r="D6" s="504"/>
      <c r="E6" s="504"/>
      <c r="F6" s="504"/>
      <c r="G6" s="504"/>
      <c r="H6" s="504"/>
      <c r="I6" s="505"/>
      <c r="J6" s="504"/>
      <c r="K6" s="504"/>
      <c r="L6" s="504"/>
      <c r="M6" s="504"/>
      <c r="N6" s="504"/>
      <c r="O6" s="695" t="s">
        <v>125</v>
      </c>
      <c r="P6" s="504"/>
      <c r="Q6" s="504"/>
      <c r="R6" s="506"/>
      <c r="S6" s="501"/>
      <c r="T6" s="502"/>
      <c r="U6" s="502"/>
      <c r="V6" s="502"/>
      <c r="W6" s="502"/>
    </row>
    <row r="7" spans="1:23" s="507" customFormat="1" ht="72" customHeight="1">
      <c r="A7" s="1335" t="s">
        <v>5</v>
      </c>
      <c r="B7" s="1323" t="s">
        <v>126</v>
      </c>
      <c r="C7" s="1323" t="s">
        <v>127</v>
      </c>
      <c r="D7" s="1323" t="s">
        <v>635</v>
      </c>
      <c r="E7" s="1323" t="s">
        <v>128</v>
      </c>
      <c r="F7" s="1323" t="s">
        <v>515</v>
      </c>
      <c r="G7" s="1323" t="s">
        <v>516</v>
      </c>
      <c r="H7" s="1333" t="s">
        <v>339</v>
      </c>
      <c r="I7" s="1329" t="s">
        <v>742</v>
      </c>
      <c r="J7" s="1323" t="s">
        <v>130</v>
      </c>
      <c r="K7" s="1323"/>
      <c r="L7" s="1323"/>
      <c r="M7" s="1323" t="s">
        <v>131</v>
      </c>
      <c r="N7" s="1323" t="s">
        <v>132</v>
      </c>
      <c r="O7" s="1331" t="s">
        <v>133</v>
      </c>
      <c r="P7" s="1323" t="s">
        <v>134</v>
      </c>
      <c r="Q7" s="1323" t="s">
        <v>135</v>
      </c>
      <c r="R7" s="1325" t="s">
        <v>16</v>
      </c>
      <c r="S7" s="501"/>
      <c r="T7" s="502"/>
      <c r="U7" s="502"/>
      <c r="V7" s="502"/>
      <c r="W7" s="502"/>
    </row>
    <row r="8" spans="1:23" s="507" customFormat="1" ht="87" customHeight="1" thickBot="1">
      <c r="A8" s="1336"/>
      <c r="B8" s="1324"/>
      <c r="C8" s="1324"/>
      <c r="D8" s="1324"/>
      <c r="E8" s="1324"/>
      <c r="F8" s="1324"/>
      <c r="G8" s="1324"/>
      <c r="H8" s="1334"/>
      <c r="I8" s="1330"/>
      <c r="J8" s="1092" t="s">
        <v>136</v>
      </c>
      <c r="K8" s="1092" t="s">
        <v>137</v>
      </c>
      <c r="L8" s="1092" t="s">
        <v>138</v>
      </c>
      <c r="M8" s="1324"/>
      <c r="N8" s="1324"/>
      <c r="O8" s="1332"/>
      <c r="P8" s="1324"/>
      <c r="Q8" s="1324"/>
      <c r="R8" s="1326"/>
      <c r="S8" s="1177"/>
      <c r="T8" s="1177"/>
      <c r="U8" s="1178"/>
      <c r="V8" s="502"/>
      <c r="W8" s="502"/>
    </row>
    <row r="9" spans="1:23" s="510" customFormat="1" ht="30" customHeight="1">
      <c r="A9" s="719" t="s">
        <v>139</v>
      </c>
      <c r="B9" s="720" t="s">
        <v>140</v>
      </c>
      <c r="C9" s="720" t="s">
        <v>141</v>
      </c>
      <c r="D9" s="721" t="s">
        <v>142</v>
      </c>
      <c r="E9" s="721" t="s">
        <v>143</v>
      </c>
      <c r="F9" s="721" t="s">
        <v>193</v>
      </c>
      <c r="G9" s="721" t="s">
        <v>144</v>
      </c>
      <c r="H9" s="1232" t="s">
        <v>741</v>
      </c>
      <c r="I9" s="722" t="s">
        <v>246</v>
      </c>
      <c r="J9" s="721" t="s">
        <v>145</v>
      </c>
      <c r="K9" s="721" t="s">
        <v>146</v>
      </c>
      <c r="L9" s="721" t="s">
        <v>147</v>
      </c>
      <c r="M9" s="721" t="s">
        <v>148</v>
      </c>
      <c r="N9" s="721" t="s">
        <v>149</v>
      </c>
      <c r="O9" s="723" t="s">
        <v>150</v>
      </c>
      <c r="P9" s="721" t="s">
        <v>151</v>
      </c>
      <c r="Q9" s="721" t="s">
        <v>152</v>
      </c>
      <c r="R9" s="724" t="s">
        <v>517</v>
      </c>
      <c r="S9" s="1179" t="s">
        <v>1424</v>
      </c>
      <c r="T9" s="1179" t="s">
        <v>1426</v>
      </c>
      <c r="U9" s="1179"/>
      <c r="V9" s="509"/>
      <c r="W9" s="509"/>
    </row>
    <row r="10" spans="1:23" s="507" customFormat="1" ht="17.25" customHeight="1">
      <c r="A10" s="725"/>
      <c r="B10" s="704" t="s">
        <v>876</v>
      </c>
      <c r="C10" s="705">
        <f>C11+C39</f>
        <v>996</v>
      </c>
      <c r="D10" s="705">
        <f t="shared" ref="D10:K10" si="0">D11+D39</f>
        <v>0</v>
      </c>
      <c r="E10" s="705">
        <f t="shared" si="0"/>
        <v>1109</v>
      </c>
      <c r="F10" s="705">
        <f t="shared" si="0"/>
        <v>0</v>
      </c>
      <c r="G10" s="705">
        <f t="shared" si="0"/>
        <v>0</v>
      </c>
      <c r="H10" s="1199">
        <f t="shared" si="0"/>
        <v>263381.90000000002</v>
      </c>
      <c r="I10" s="1199">
        <f>I11+I39</f>
        <v>67194.5</v>
      </c>
      <c r="J10" s="1199">
        <f>J11+J39</f>
        <v>56016</v>
      </c>
      <c r="K10" s="1199">
        <f t="shared" si="0"/>
        <v>527.5</v>
      </c>
      <c r="L10" s="1199">
        <f>L11+L39</f>
        <v>9156</v>
      </c>
      <c r="M10" s="1199">
        <f>M13+M16+M19+M22</f>
        <v>16440</v>
      </c>
      <c r="N10" s="1199">
        <f t="shared" ref="N10:Q10" si="1">N13+N16+N19+N22</f>
        <v>13485.5</v>
      </c>
      <c r="O10" s="1199">
        <f>O13+O16+O19+O22</f>
        <v>42529.5</v>
      </c>
      <c r="P10" s="1199">
        <f t="shared" si="1"/>
        <v>11008</v>
      </c>
      <c r="Q10" s="1199">
        <f t="shared" si="1"/>
        <v>10596.25</v>
      </c>
      <c r="R10" s="1199">
        <f>J10-N10</f>
        <v>42530.5</v>
      </c>
      <c r="S10" s="1180">
        <f>S13+S16+S19+S22</f>
        <v>56016</v>
      </c>
      <c r="T10" s="1180">
        <f>T13+T16+T19+T22</f>
        <v>42530.5</v>
      </c>
      <c r="U10" s="1178"/>
      <c r="V10" s="502"/>
      <c r="W10" s="502"/>
    </row>
    <row r="11" spans="1:23" s="507" customFormat="1" ht="24.9" customHeight="1">
      <c r="A11" s="725" t="s">
        <v>19</v>
      </c>
      <c r="B11" s="707" t="s">
        <v>153</v>
      </c>
      <c r="C11" s="706">
        <f>C12+C25+C38</f>
        <v>732</v>
      </c>
      <c r="D11" s="706">
        <f t="shared" ref="D11:L11" si="2">D12+D25+D38</f>
        <v>0</v>
      </c>
      <c r="E11" s="706">
        <f t="shared" si="2"/>
        <v>288</v>
      </c>
      <c r="F11" s="706">
        <f t="shared" si="2"/>
        <v>0</v>
      </c>
      <c r="G11" s="706">
        <f t="shared" si="2"/>
        <v>0</v>
      </c>
      <c r="H11" s="1200">
        <f t="shared" si="2"/>
        <v>38756.9</v>
      </c>
      <c r="I11" s="1200">
        <f t="shared" si="2"/>
        <v>21228.800000000003</v>
      </c>
      <c r="J11" s="1200">
        <f>J12+J25+J38</f>
        <v>18128.800000000003</v>
      </c>
      <c r="K11" s="1200">
        <f t="shared" si="2"/>
        <v>527.5</v>
      </c>
      <c r="L11" s="1200">
        <f t="shared" si="2"/>
        <v>2556</v>
      </c>
      <c r="M11" s="1199"/>
      <c r="N11" s="1199"/>
      <c r="O11" s="1200"/>
      <c r="P11" s="1199"/>
      <c r="Q11" s="1199"/>
      <c r="R11" s="1201"/>
      <c r="S11" s="1178"/>
      <c r="T11" s="1178"/>
      <c r="U11" s="1178"/>
      <c r="V11" s="502"/>
      <c r="W11" s="502"/>
    </row>
    <row r="12" spans="1:23" s="517" customFormat="1" ht="15.75" customHeight="1">
      <c r="A12" s="726">
        <v>1</v>
      </c>
      <c r="B12" s="550" t="s">
        <v>1403</v>
      </c>
      <c r="C12" s="708">
        <f>C13+C16+C19+C22</f>
        <v>600</v>
      </c>
      <c r="D12" s="708">
        <f t="shared" ref="D12:L12" si="3">D13+D16+D19+D22</f>
        <v>0</v>
      </c>
      <c r="E12" s="708">
        <f t="shared" si="3"/>
        <v>222</v>
      </c>
      <c r="F12" s="708">
        <f t="shared" si="3"/>
        <v>0</v>
      </c>
      <c r="G12" s="708">
        <f t="shared" si="3"/>
        <v>0</v>
      </c>
      <c r="H12" s="1202">
        <f t="shared" si="3"/>
        <v>31032.9</v>
      </c>
      <c r="I12" s="1202">
        <f t="shared" si="3"/>
        <v>13975.800000000001</v>
      </c>
      <c r="J12" s="1202">
        <f>J13+J16+J19+J22</f>
        <v>13222.800000000001</v>
      </c>
      <c r="K12" s="1202">
        <f>K13+K16+K19+K22</f>
        <v>165</v>
      </c>
      <c r="L12" s="1202">
        <f t="shared" si="3"/>
        <v>423</v>
      </c>
      <c r="M12" s="1203"/>
      <c r="N12" s="1203"/>
      <c r="O12" s="1202"/>
      <c r="P12" s="1203"/>
      <c r="Q12" s="1203"/>
      <c r="R12" s="1204"/>
      <c r="S12" s="1181"/>
      <c r="T12" s="1182"/>
      <c r="U12" s="1182"/>
      <c r="V12" s="516"/>
      <c r="W12" s="516"/>
    </row>
    <row r="13" spans="1:23" s="514" customFormat="1" ht="13.5">
      <c r="A13" s="1112" t="s">
        <v>155</v>
      </c>
      <c r="B13" s="1113" t="s">
        <v>877</v>
      </c>
      <c r="C13" s="1114">
        <f>SUM(C14:C15)</f>
        <v>88</v>
      </c>
      <c r="D13" s="1114">
        <f t="shared" ref="D13:L13" si="4">SUM(D14:D15)</f>
        <v>0</v>
      </c>
      <c r="E13" s="1114">
        <f t="shared" si="4"/>
        <v>44</v>
      </c>
      <c r="F13" s="1114">
        <f t="shared" si="4"/>
        <v>0</v>
      </c>
      <c r="G13" s="1114">
        <f t="shared" si="4"/>
        <v>0</v>
      </c>
      <c r="H13" s="1205">
        <f t="shared" si="4"/>
        <v>9666.9000000000015</v>
      </c>
      <c r="I13" s="1205">
        <f t="shared" si="4"/>
        <v>2922.15</v>
      </c>
      <c r="J13" s="1205">
        <f t="shared" si="4"/>
        <v>2922.15</v>
      </c>
      <c r="K13" s="1205">
        <f t="shared" si="4"/>
        <v>0</v>
      </c>
      <c r="L13" s="1205">
        <f t="shared" si="4"/>
        <v>0</v>
      </c>
      <c r="M13" s="1206">
        <f>'Bieu 3a-Tong gio chuan chi tiet'!E14</f>
        <v>4860</v>
      </c>
      <c r="N13" s="1206">
        <f>'Bieu 3a-Tong gio chuan chi tiet'!M14</f>
        <v>3631.5</v>
      </c>
      <c r="O13" s="1206">
        <f>'2aLH'!O10</f>
        <v>22399.15</v>
      </c>
      <c r="P13" s="1206">
        <f>'Bieu 3a-Tong gio chuan chi tiet'!N14</f>
        <v>2790.25</v>
      </c>
      <c r="Q13" s="1206">
        <f>'Bieu 3a-Tong gio chuan chi tiet'!O14</f>
        <v>2967.75</v>
      </c>
      <c r="R13" s="1207"/>
      <c r="S13" s="1181">
        <f>'2aLH'!J10</f>
        <v>26031.15</v>
      </c>
      <c r="T13" s="1183">
        <f>S13-N13</f>
        <v>22399.65</v>
      </c>
      <c r="U13" s="1184"/>
      <c r="V13" s="513"/>
      <c r="W13" s="513"/>
    </row>
    <row r="14" spans="1:23" s="684" customFormat="1" ht="13">
      <c r="A14" s="728"/>
      <c r="B14" s="714" t="s">
        <v>1370</v>
      </c>
      <c r="C14" s="712">
        <f>'2aLH'!C13</f>
        <v>45</v>
      </c>
      <c r="D14" s="712">
        <f>'2aLH'!D13</f>
        <v>0</v>
      </c>
      <c r="E14" s="712">
        <f>'2aLH'!E13</f>
        <v>18</v>
      </c>
      <c r="F14" s="712">
        <f>'2aLH'!F13</f>
        <v>0</v>
      </c>
      <c r="G14" s="712">
        <f>'2aLH'!G13</f>
        <v>0</v>
      </c>
      <c r="H14" s="1208">
        <f>'2aLH'!H13</f>
        <v>4327</v>
      </c>
      <c r="I14" s="1208">
        <f>'2aLH'!I13</f>
        <v>1164.9000000000001</v>
      </c>
      <c r="J14" s="1208">
        <f>'2aLH'!J13</f>
        <v>1164.9000000000001</v>
      </c>
      <c r="K14" s="1208">
        <f>'2aLH'!K13</f>
        <v>0</v>
      </c>
      <c r="L14" s="1208">
        <f>'2aLH'!L13</f>
        <v>0</v>
      </c>
      <c r="M14" s="1209"/>
      <c r="N14" s="1209"/>
      <c r="O14" s="1210"/>
      <c r="P14" s="1210"/>
      <c r="Q14" s="1211"/>
      <c r="R14" s="1212"/>
      <c r="S14" s="1185"/>
      <c r="T14" s="1186"/>
      <c r="U14" s="1186"/>
      <c r="V14" s="531"/>
      <c r="W14" s="531"/>
    </row>
    <row r="15" spans="1:23" s="684" customFormat="1" ht="13">
      <c r="A15" s="728"/>
      <c r="B15" s="711" t="s">
        <v>1371</v>
      </c>
      <c r="C15" s="712">
        <f>'2aLH'!C26</f>
        <v>43</v>
      </c>
      <c r="D15" s="712">
        <f>'2aLH'!D26</f>
        <v>0</v>
      </c>
      <c r="E15" s="712">
        <f>'2aLH'!E26</f>
        <v>26</v>
      </c>
      <c r="F15" s="712">
        <f>'2aLH'!F26</f>
        <v>0</v>
      </c>
      <c r="G15" s="712">
        <f>'2aLH'!G26</f>
        <v>0</v>
      </c>
      <c r="H15" s="1208">
        <f>'2aLH'!H26</f>
        <v>5339.9000000000005</v>
      </c>
      <c r="I15" s="1208">
        <f>'2aLH'!I26</f>
        <v>1757.25</v>
      </c>
      <c r="J15" s="1208">
        <f>'2aLH'!J26</f>
        <v>1757.25</v>
      </c>
      <c r="K15" s="1208">
        <f>'2aLH'!K26</f>
        <v>0</v>
      </c>
      <c r="L15" s="1208">
        <f>'2aLH'!L26</f>
        <v>0</v>
      </c>
      <c r="M15" s="1209"/>
      <c r="N15" s="1209"/>
      <c r="O15" s="1210"/>
      <c r="P15" s="1210"/>
      <c r="Q15" s="1211"/>
      <c r="R15" s="1212"/>
      <c r="S15" s="1187"/>
      <c r="T15" s="1186"/>
      <c r="U15" s="1186"/>
      <c r="V15" s="531"/>
      <c r="W15" s="531"/>
    </row>
    <row r="16" spans="1:23" s="514" customFormat="1" ht="15.75" customHeight="1">
      <c r="A16" s="1112" t="s">
        <v>156</v>
      </c>
      <c r="B16" s="1113" t="s">
        <v>878</v>
      </c>
      <c r="C16" s="1115">
        <f>SUM(C17:C18)</f>
        <v>105</v>
      </c>
      <c r="D16" s="1115">
        <f t="shared" ref="D16:L16" si="5">SUM(D17:D18)</f>
        <v>0</v>
      </c>
      <c r="E16" s="1115">
        <f t="shared" si="5"/>
        <v>50</v>
      </c>
      <c r="F16" s="1115">
        <f t="shared" si="5"/>
        <v>0</v>
      </c>
      <c r="G16" s="1115">
        <f t="shared" si="5"/>
        <v>0</v>
      </c>
      <c r="H16" s="1206">
        <f t="shared" si="5"/>
        <v>11743.5</v>
      </c>
      <c r="I16" s="1206">
        <f t="shared" si="5"/>
        <v>3196.05</v>
      </c>
      <c r="J16" s="1206">
        <f t="shared" si="5"/>
        <v>3196.05</v>
      </c>
      <c r="K16" s="1206">
        <f t="shared" si="5"/>
        <v>0</v>
      </c>
      <c r="L16" s="1206">
        <f t="shared" si="5"/>
        <v>0</v>
      </c>
      <c r="M16" s="1206">
        <f>'Bieu 3a-Tong gio chuan chi tiet'!E33</f>
        <v>4250</v>
      </c>
      <c r="N16" s="1206">
        <f>'Bieu 3a-Tong gio chuan chi tiet'!M33</f>
        <v>3603.5</v>
      </c>
      <c r="O16" s="1206">
        <f>'2aLKT'!O10</f>
        <v>13826.25</v>
      </c>
      <c r="P16" s="1206">
        <f>'Bieu 3a-Tong gio chuan chi tiet'!N33</f>
        <v>2414.25</v>
      </c>
      <c r="Q16" s="1206">
        <f>'Bieu 3a-Tong gio chuan chi tiet'!O33</f>
        <v>2714.25</v>
      </c>
      <c r="R16" s="1207"/>
      <c r="S16" s="1188">
        <f>'2aLKT'!J10</f>
        <v>17430.25</v>
      </c>
      <c r="T16" s="1183">
        <f>S16-N16</f>
        <v>13826.75</v>
      </c>
      <c r="U16" s="1184"/>
      <c r="V16" s="513"/>
      <c r="W16" s="513"/>
    </row>
    <row r="17" spans="1:23" s="684" customFormat="1" ht="13">
      <c r="A17" s="728"/>
      <c r="B17" s="714" t="s">
        <v>1370</v>
      </c>
      <c r="C17" s="712">
        <f>'2aLKT'!C13</f>
        <v>51</v>
      </c>
      <c r="D17" s="712"/>
      <c r="E17" s="712">
        <f>'2aLKT'!E13</f>
        <v>23</v>
      </c>
      <c r="F17" s="712"/>
      <c r="G17" s="712"/>
      <c r="H17" s="1208">
        <f>'2aLKT'!H13</f>
        <v>4969.5</v>
      </c>
      <c r="I17" s="1208">
        <f>'2aLKT'!I13</f>
        <v>1466.85</v>
      </c>
      <c r="J17" s="1208">
        <f>'2aLKT'!J13</f>
        <v>1466.85</v>
      </c>
      <c r="K17" s="1208">
        <f>'2aLKT'!K13</f>
        <v>0</v>
      </c>
      <c r="L17" s="1208">
        <f>'2aLKT'!L13</f>
        <v>0</v>
      </c>
      <c r="M17" s="1209"/>
      <c r="N17" s="1209"/>
      <c r="O17" s="1210"/>
      <c r="P17" s="1210"/>
      <c r="Q17" s="1211"/>
      <c r="R17" s="1212"/>
      <c r="S17" s="1189"/>
      <c r="T17" s="1189"/>
      <c r="U17" s="1186"/>
      <c r="V17" s="531"/>
      <c r="W17" s="531"/>
    </row>
    <row r="18" spans="1:23" s="684" customFormat="1" ht="13">
      <c r="A18" s="728"/>
      <c r="B18" s="711" t="s">
        <v>1371</v>
      </c>
      <c r="C18" s="712">
        <f>'2aLKT'!C28</f>
        <v>54</v>
      </c>
      <c r="D18" s="712"/>
      <c r="E18" s="712">
        <f>'2aLKT'!E28</f>
        <v>27</v>
      </c>
      <c r="F18" s="712"/>
      <c r="G18" s="712"/>
      <c r="H18" s="1208">
        <f>'2aLKT'!H28</f>
        <v>6774</v>
      </c>
      <c r="I18" s="1208">
        <f>'2aLKT'!I28</f>
        <v>1729.2</v>
      </c>
      <c r="J18" s="1208">
        <f>'2aLKT'!J28</f>
        <v>1729.2</v>
      </c>
      <c r="K18" s="1208">
        <f>'2aLKT'!K28</f>
        <v>0</v>
      </c>
      <c r="L18" s="1208">
        <f>'2aLKT'!L28</f>
        <v>0</v>
      </c>
      <c r="M18" s="1209"/>
      <c r="N18" s="1209"/>
      <c r="O18" s="1210"/>
      <c r="P18" s="1210"/>
      <c r="Q18" s="1211"/>
      <c r="R18" s="1212"/>
      <c r="S18" s="1189"/>
      <c r="T18" s="1189"/>
      <c r="U18" s="1186"/>
      <c r="V18" s="531"/>
      <c r="W18" s="531"/>
    </row>
    <row r="19" spans="1:23" s="938" customFormat="1" ht="15.75" customHeight="1">
      <c r="A19" s="1112" t="s">
        <v>157</v>
      </c>
      <c r="B19" s="1113" t="s">
        <v>879</v>
      </c>
      <c r="C19" s="1114">
        <f>SUM(C20:C21)</f>
        <v>157</v>
      </c>
      <c r="D19" s="1114">
        <f t="shared" ref="D19:L19" si="6">SUM(D20:D21)</f>
        <v>0</v>
      </c>
      <c r="E19" s="1114">
        <f t="shared" si="6"/>
        <v>43</v>
      </c>
      <c r="F19" s="1114">
        <f t="shared" si="6"/>
        <v>0</v>
      </c>
      <c r="G19" s="1114">
        <f t="shared" si="6"/>
        <v>0</v>
      </c>
      <c r="H19" s="1205">
        <f t="shared" si="6"/>
        <v>3735.3</v>
      </c>
      <c r="I19" s="1205">
        <f t="shared" si="6"/>
        <v>2634</v>
      </c>
      <c r="J19" s="1205">
        <f>SUM(J20:J21)</f>
        <v>1881</v>
      </c>
      <c r="K19" s="1205">
        <f t="shared" si="6"/>
        <v>165</v>
      </c>
      <c r="L19" s="1205">
        <f t="shared" si="6"/>
        <v>423</v>
      </c>
      <c r="M19" s="1206">
        <f>'Bieu 3a-Tong gio chuan chi tiet'!E50</f>
        <v>3780</v>
      </c>
      <c r="N19" s="1206">
        <f>'Bieu 3a-Tong gio chuan chi tiet'!M50</f>
        <v>2944.5</v>
      </c>
      <c r="O19" s="1206">
        <f>'2aCT'!O10</f>
        <v>3198.5</v>
      </c>
      <c r="P19" s="1206">
        <f>'Bieu 3a-Tong gio chuan chi tiet'!N50</f>
        <v>2192.5</v>
      </c>
      <c r="Q19" s="1206">
        <f>'Bieu 3a-Tong gio chuan chi tiet'!O50</f>
        <v>2086.25</v>
      </c>
      <c r="R19" s="1213"/>
      <c r="S19" s="1190">
        <f>'2aCT'!J10</f>
        <v>6143</v>
      </c>
      <c r="T19" s="1191">
        <f>S19-N19</f>
        <v>3198.5</v>
      </c>
      <c r="U19" s="1192"/>
      <c r="V19" s="1118"/>
      <c r="W19" s="1118"/>
    </row>
    <row r="20" spans="1:23" s="684" customFormat="1" ht="15.75" customHeight="1">
      <c r="A20" s="728"/>
      <c r="B20" s="714" t="s">
        <v>1370</v>
      </c>
      <c r="C20" s="712">
        <f>'2aCT'!C13</f>
        <v>78</v>
      </c>
      <c r="D20" s="712">
        <f>'2aCT'!D13</f>
        <v>0</v>
      </c>
      <c r="E20" s="712">
        <f>'2aCT'!E13</f>
        <v>21</v>
      </c>
      <c r="F20" s="712">
        <f>'2aCT'!F13</f>
        <v>0</v>
      </c>
      <c r="G20" s="712">
        <f>'2aCT'!G13</f>
        <v>0</v>
      </c>
      <c r="H20" s="1208">
        <f>'2aCT'!H13</f>
        <v>1925.2</v>
      </c>
      <c r="I20" s="1208">
        <f>'2aCT'!I13</f>
        <v>1311</v>
      </c>
      <c r="J20" s="1208">
        <f>'2aCT'!J13</f>
        <v>936</v>
      </c>
      <c r="K20" s="1208">
        <f>'2aCT'!K13</f>
        <v>82.5</v>
      </c>
      <c r="L20" s="1208">
        <f>'2aCT'!L13</f>
        <v>243</v>
      </c>
      <c r="M20" s="1209"/>
      <c r="N20" s="1209"/>
      <c r="O20" s="1210"/>
      <c r="P20" s="1209"/>
      <c r="Q20" s="1209"/>
      <c r="R20" s="1212"/>
      <c r="S20" s="1189"/>
      <c r="T20" s="1189"/>
      <c r="U20" s="1186"/>
      <c r="V20" s="531"/>
      <c r="W20" s="531"/>
    </row>
    <row r="21" spans="1:23" s="684" customFormat="1" ht="15.75" customHeight="1">
      <c r="A21" s="728"/>
      <c r="B21" s="711" t="s">
        <v>1371</v>
      </c>
      <c r="C21" s="712">
        <f>'2aCT'!C14</f>
        <v>79</v>
      </c>
      <c r="D21" s="712"/>
      <c r="E21" s="712">
        <f>'2aCT'!E14</f>
        <v>22</v>
      </c>
      <c r="F21" s="712"/>
      <c r="G21" s="712"/>
      <c r="H21" s="1208">
        <f>'2aCT'!H14</f>
        <v>1810.1000000000001</v>
      </c>
      <c r="I21" s="1208">
        <f>'2aCT'!I14</f>
        <v>1323</v>
      </c>
      <c r="J21" s="1208">
        <f>'2aCT'!J14</f>
        <v>945</v>
      </c>
      <c r="K21" s="1208">
        <f>'2aCT'!K14</f>
        <v>82.5</v>
      </c>
      <c r="L21" s="1208">
        <f>'2aCT'!L14</f>
        <v>180</v>
      </c>
      <c r="M21" s="1209"/>
      <c r="N21" s="1209"/>
      <c r="O21" s="1210"/>
      <c r="P21" s="1209"/>
      <c r="Q21" s="1209"/>
      <c r="R21" s="1214"/>
      <c r="S21" s="1186"/>
      <c r="T21" s="1193"/>
      <c r="U21" s="1186"/>
      <c r="V21" s="531"/>
      <c r="W21" s="531"/>
    </row>
    <row r="22" spans="1:23" s="938" customFormat="1" ht="15.75" customHeight="1">
      <c r="A22" s="1112" t="s">
        <v>158</v>
      </c>
      <c r="B22" s="1113" t="s">
        <v>880</v>
      </c>
      <c r="C22" s="1114">
        <f>SUM(C23:C24)</f>
        <v>250</v>
      </c>
      <c r="D22" s="1114">
        <f t="shared" ref="D22:L22" si="7">SUM(D23:D24)</f>
        <v>0</v>
      </c>
      <c r="E22" s="1114">
        <f t="shared" si="7"/>
        <v>85</v>
      </c>
      <c r="F22" s="1114">
        <f t="shared" si="7"/>
        <v>0</v>
      </c>
      <c r="G22" s="1114">
        <f t="shared" si="7"/>
        <v>0</v>
      </c>
      <c r="H22" s="1205">
        <f t="shared" si="7"/>
        <v>5887.2000000000007</v>
      </c>
      <c r="I22" s="1205">
        <f t="shared" si="7"/>
        <v>5223.6000000000004</v>
      </c>
      <c r="J22" s="1205">
        <f>SUM(J23:J24)</f>
        <v>5223.6000000000004</v>
      </c>
      <c r="K22" s="1205">
        <f t="shared" si="7"/>
        <v>0</v>
      </c>
      <c r="L22" s="1205">
        <f t="shared" si="7"/>
        <v>0</v>
      </c>
      <c r="M22" s="1206">
        <f>'Bieu 3a-Tong gio chuan chi tiet'!E65</f>
        <v>3550</v>
      </c>
      <c r="N22" s="1206">
        <f>'Bieu 3a-Tong gio chuan chi tiet'!M65</f>
        <v>3306</v>
      </c>
      <c r="O22" s="1206">
        <f>'2aCTXH'!O10</f>
        <v>3105.6000000000004</v>
      </c>
      <c r="P22" s="1206">
        <f>'Bieu 3a-Tong gio chuan chi tiet'!N65</f>
        <v>3611</v>
      </c>
      <c r="Q22" s="1206">
        <f>'Bieu 3a-Tong gio chuan chi tiet'!O65</f>
        <v>2828</v>
      </c>
      <c r="R22" s="1213"/>
      <c r="S22" s="1194">
        <f>'2aCTXH'!J10</f>
        <v>6411.6</v>
      </c>
      <c r="T22" s="1192">
        <f>S22-N22</f>
        <v>3105.6000000000004</v>
      </c>
      <c r="U22" s="1194"/>
      <c r="V22" s="1118"/>
      <c r="W22" s="1118"/>
    </row>
    <row r="23" spans="1:23" s="684" customFormat="1" ht="15.75" customHeight="1">
      <c r="A23" s="728"/>
      <c r="B23" s="714" t="s">
        <v>1370</v>
      </c>
      <c r="C23" s="712">
        <f>'2aCTXH'!C13</f>
        <v>130</v>
      </c>
      <c r="D23" s="712"/>
      <c r="E23" s="712">
        <f>'2aCTXH'!E13</f>
        <v>38</v>
      </c>
      <c r="F23" s="712"/>
      <c r="G23" s="712"/>
      <c r="H23" s="1208">
        <f>'2aCTXH'!H13</f>
        <v>3257.3</v>
      </c>
      <c r="I23" s="1208">
        <f>'2aCTXH'!I13</f>
        <v>2649.3</v>
      </c>
      <c r="J23" s="1208">
        <f>'2aCTXH'!J13</f>
        <v>2649.3</v>
      </c>
      <c r="K23" s="1208">
        <f>'2aCTXH'!K13</f>
        <v>0</v>
      </c>
      <c r="L23" s="1208">
        <f>'2aCTXH'!L13</f>
        <v>0</v>
      </c>
      <c r="M23" s="1209"/>
      <c r="N23" s="1209"/>
      <c r="O23" s="1210"/>
      <c r="P23" s="1209"/>
      <c r="Q23" s="1209"/>
      <c r="R23" s="1212"/>
      <c r="S23" s="1186"/>
      <c r="T23" s="1186"/>
      <c r="U23" s="1186"/>
      <c r="V23" s="531"/>
      <c r="W23" s="531"/>
    </row>
    <row r="24" spans="1:23" s="684" customFormat="1" ht="15.75" customHeight="1">
      <c r="A24" s="728"/>
      <c r="B24" s="711" t="s">
        <v>1371</v>
      </c>
      <c r="C24" s="712">
        <f>'2aCTXH'!C53</f>
        <v>120</v>
      </c>
      <c r="D24" s="712"/>
      <c r="E24" s="712">
        <f>'2aCTXH'!E53</f>
        <v>47</v>
      </c>
      <c r="F24" s="712"/>
      <c r="G24" s="712"/>
      <c r="H24" s="1208">
        <f>'2aCTXH'!H53</f>
        <v>2629.9</v>
      </c>
      <c r="I24" s="1208">
        <f>'2aCTXH'!I53</f>
        <v>2574.3000000000002</v>
      </c>
      <c r="J24" s="1208">
        <f>'2aCTXH'!J53</f>
        <v>2574.3000000000002</v>
      </c>
      <c r="K24" s="1208">
        <f>'2aCTXH'!K53</f>
        <v>0</v>
      </c>
      <c r="L24" s="1208">
        <f>'2aCTXH'!L53</f>
        <v>0</v>
      </c>
      <c r="M24" s="1209"/>
      <c r="N24" s="1209"/>
      <c r="O24" s="1210"/>
      <c r="P24" s="1209"/>
      <c r="Q24" s="1209"/>
      <c r="R24" s="1212"/>
      <c r="S24" s="1186"/>
      <c r="T24" s="1186"/>
      <c r="U24" s="1186"/>
      <c r="V24" s="531"/>
      <c r="W24" s="531"/>
    </row>
    <row r="25" spans="1:23" s="517" customFormat="1" ht="15.75" customHeight="1">
      <c r="A25" s="726">
        <v>2</v>
      </c>
      <c r="B25" s="707" t="s">
        <v>523</v>
      </c>
      <c r="C25" s="718">
        <f>C26+C29+C32+C35</f>
        <v>126</v>
      </c>
      <c r="D25" s="718">
        <f t="shared" ref="D25:L25" si="8">D26+D29+D32+D35</f>
        <v>0</v>
      </c>
      <c r="E25" s="718">
        <f t="shared" si="8"/>
        <v>66</v>
      </c>
      <c r="F25" s="718">
        <f t="shared" si="8"/>
        <v>0</v>
      </c>
      <c r="G25" s="718">
        <f t="shared" si="8"/>
        <v>0</v>
      </c>
      <c r="H25" s="1215">
        <f t="shared" si="8"/>
        <v>7685</v>
      </c>
      <c r="I25" s="1215">
        <f t="shared" si="8"/>
        <v>6704</v>
      </c>
      <c r="J25" s="1215">
        <f>J26+J29+J32+J35</f>
        <v>4613</v>
      </c>
      <c r="K25" s="1215">
        <f t="shared" si="8"/>
        <v>298.5</v>
      </c>
      <c r="L25" s="1215">
        <f t="shared" si="8"/>
        <v>1941</v>
      </c>
      <c r="M25" s="1203"/>
      <c r="N25" s="1203"/>
      <c r="O25" s="1202"/>
      <c r="P25" s="1203"/>
      <c r="Q25" s="1203"/>
      <c r="R25" s="1204"/>
      <c r="S25" s="1182"/>
      <c r="T25" s="1182" t="s">
        <v>1424</v>
      </c>
      <c r="U25" s="1182" t="s">
        <v>1425</v>
      </c>
      <c r="V25" s="516"/>
      <c r="W25" s="516"/>
    </row>
    <row r="26" spans="1:23" s="514" customFormat="1" ht="15.75" customHeight="1">
      <c r="A26" s="1112" t="s">
        <v>155</v>
      </c>
      <c r="B26" s="1113" t="s">
        <v>877</v>
      </c>
      <c r="C26" s="1115">
        <f>SUM(C27:C28)</f>
        <v>45</v>
      </c>
      <c r="D26" s="1115">
        <f t="shared" ref="D26:L26" si="9">SUM(D27:D28)</f>
        <v>0</v>
      </c>
      <c r="E26" s="1115">
        <f t="shared" si="9"/>
        <v>31</v>
      </c>
      <c r="F26" s="1115">
        <f t="shared" si="9"/>
        <v>0</v>
      </c>
      <c r="G26" s="1115">
        <f t="shared" si="9"/>
        <v>0</v>
      </c>
      <c r="H26" s="1206">
        <f t="shared" si="9"/>
        <v>3150</v>
      </c>
      <c r="I26" s="1206">
        <f t="shared" si="9"/>
        <v>1732.5</v>
      </c>
      <c r="J26" s="1206">
        <f t="shared" si="9"/>
        <v>1732.5</v>
      </c>
      <c r="K26" s="1206">
        <f t="shared" si="9"/>
        <v>0</v>
      </c>
      <c r="L26" s="1206">
        <f t="shared" si="9"/>
        <v>0</v>
      </c>
      <c r="M26" s="1216"/>
      <c r="N26" s="1216"/>
      <c r="O26" s="1206"/>
      <c r="P26" s="1216"/>
      <c r="Q26" s="1216"/>
      <c r="R26" s="1213"/>
      <c r="S26" s="1184"/>
      <c r="T26" s="1183">
        <f>SUM(T27:T30)</f>
        <v>56016</v>
      </c>
      <c r="U26" s="1184"/>
      <c r="V26" s="513"/>
      <c r="W26" s="513"/>
    </row>
    <row r="27" spans="1:23" s="684" customFormat="1" ht="13">
      <c r="A27" s="728"/>
      <c r="B27" s="714" t="s">
        <v>1370</v>
      </c>
      <c r="C27" s="712">
        <f>'2aLH'!C39</f>
        <v>30</v>
      </c>
      <c r="D27" s="712"/>
      <c r="E27" s="712">
        <f>'2aLH'!E39</f>
        <v>16</v>
      </c>
      <c r="F27" s="712"/>
      <c r="G27" s="712"/>
      <c r="H27" s="1208">
        <f>'2aLH'!H39</f>
        <v>1890</v>
      </c>
      <c r="I27" s="1208">
        <f>'2aLH'!I39</f>
        <v>990</v>
      </c>
      <c r="J27" s="1208">
        <f>'2aLH'!J39</f>
        <v>990</v>
      </c>
      <c r="K27" s="1208">
        <f>'2aLH'!K39</f>
        <v>0</v>
      </c>
      <c r="L27" s="1208">
        <f>'2aLH'!L39</f>
        <v>0</v>
      </c>
      <c r="M27" s="1209"/>
      <c r="N27" s="1209"/>
      <c r="O27" s="1210"/>
      <c r="P27" s="1210"/>
      <c r="Q27" s="1211"/>
      <c r="R27" s="1212"/>
      <c r="S27" s="1178" t="s">
        <v>1304</v>
      </c>
      <c r="T27" s="1195">
        <f>J13+J26+J41+I54</f>
        <v>26031.15</v>
      </c>
      <c r="U27" s="1186"/>
      <c r="V27" s="531"/>
      <c r="W27" s="531"/>
    </row>
    <row r="28" spans="1:23" s="684" customFormat="1" ht="13">
      <c r="A28" s="728"/>
      <c r="B28" s="711" t="s">
        <v>1371</v>
      </c>
      <c r="C28" s="712">
        <f>'2aLH'!C47</f>
        <v>15</v>
      </c>
      <c r="D28" s="712"/>
      <c r="E28" s="712">
        <f>'2aLH'!E47</f>
        <v>15</v>
      </c>
      <c r="F28" s="712"/>
      <c r="G28" s="712"/>
      <c r="H28" s="1208">
        <f>'2aLH'!H47</f>
        <v>1260</v>
      </c>
      <c r="I28" s="1208">
        <f>'2aLH'!I47</f>
        <v>742.5</v>
      </c>
      <c r="J28" s="1208">
        <f>'2aLH'!J47</f>
        <v>742.5</v>
      </c>
      <c r="K28" s="1208">
        <f>'2aLH'!K47</f>
        <v>0</v>
      </c>
      <c r="L28" s="1208">
        <f>'2aLH'!L47</f>
        <v>0</v>
      </c>
      <c r="M28" s="1209"/>
      <c r="N28" s="1209"/>
      <c r="O28" s="1210"/>
      <c r="P28" s="1210"/>
      <c r="Q28" s="1211"/>
      <c r="R28" s="1212"/>
      <c r="S28" s="1178" t="s">
        <v>1421</v>
      </c>
      <c r="T28" s="1195">
        <f>J16+J29+J44+J57</f>
        <v>17430.25</v>
      </c>
      <c r="U28" s="1186"/>
      <c r="V28" s="531"/>
      <c r="W28" s="531"/>
    </row>
    <row r="29" spans="1:23" s="514" customFormat="1" ht="15.75" customHeight="1">
      <c r="A29" s="1112" t="s">
        <v>156</v>
      </c>
      <c r="B29" s="1113" t="s">
        <v>878</v>
      </c>
      <c r="C29" s="1115">
        <f>SUM(C30:C31)</f>
        <v>14</v>
      </c>
      <c r="D29" s="1115">
        <f t="shared" ref="D29:L29" si="10">SUM(D30:D31)</f>
        <v>0</v>
      </c>
      <c r="E29" s="1115">
        <f t="shared" si="10"/>
        <v>6</v>
      </c>
      <c r="F29" s="1115">
        <f t="shared" si="10"/>
        <v>0</v>
      </c>
      <c r="G29" s="1115">
        <f t="shared" si="10"/>
        <v>0</v>
      </c>
      <c r="H29" s="1206">
        <f t="shared" si="10"/>
        <v>1034</v>
      </c>
      <c r="I29" s="1206">
        <f t="shared" si="10"/>
        <v>347</v>
      </c>
      <c r="J29" s="1206">
        <f t="shared" si="10"/>
        <v>347</v>
      </c>
      <c r="K29" s="1206">
        <f t="shared" si="10"/>
        <v>0</v>
      </c>
      <c r="L29" s="1206">
        <f t="shared" si="10"/>
        <v>0</v>
      </c>
      <c r="M29" s="1216"/>
      <c r="N29" s="1216"/>
      <c r="O29" s="1206"/>
      <c r="P29" s="1216"/>
      <c r="Q29" s="1216"/>
      <c r="R29" s="1213"/>
      <c r="S29" s="1196" t="s">
        <v>1422</v>
      </c>
      <c r="T29" s="1197">
        <f>J19+J32+J38+J47</f>
        <v>6143</v>
      </c>
      <c r="U29" s="1184"/>
      <c r="V29" s="513"/>
      <c r="W29" s="513"/>
    </row>
    <row r="30" spans="1:23" s="684" customFormat="1" ht="13.5">
      <c r="A30" s="728"/>
      <c r="B30" s="714" t="s">
        <v>1370</v>
      </c>
      <c r="C30" s="712">
        <f>'2aLKT'!C46</f>
        <v>8</v>
      </c>
      <c r="D30" s="712"/>
      <c r="E30" s="712">
        <f>'2aLKT'!E46</f>
        <v>2</v>
      </c>
      <c r="F30" s="712"/>
      <c r="G30" s="712"/>
      <c r="H30" s="1208">
        <f>'2aLKT'!H46</f>
        <v>296</v>
      </c>
      <c r="I30" s="1208">
        <f>'2aLKT'!I46</f>
        <v>149</v>
      </c>
      <c r="J30" s="1208">
        <f>'2aLKT'!J46</f>
        <v>149</v>
      </c>
      <c r="K30" s="1208">
        <f>'2aLKT'!K46</f>
        <v>0</v>
      </c>
      <c r="L30" s="1208">
        <f>'2aLKT'!L46</f>
        <v>0</v>
      </c>
      <c r="M30" s="1209"/>
      <c r="N30" s="1209"/>
      <c r="O30" s="1210"/>
      <c r="P30" s="1210"/>
      <c r="Q30" s="1211"/>
      <c r="R30" s="1212"/>
      <c r="S30" s="1184" t="s">
        <v>1423</v>
      </c>
      <c r="T30" s="1195">
        <f>J22+J35+J50</f>
        <v>6411.6</v>
      </c>
      <c r="U30" s="1186"/>
      <c r="V30" s="531"/>
      <c r="W30" s="531"/>
    </row>
    <row r="31" spans="1:23" s="684" customFormat="1" ht="13">
      <c r="A31" s="728"/>
      <c r="B31" s="711" t="s">
        <v>1371</v>
      </c>
      <c r="C31" s="712">
        <f>'2aLKT'!C49</f>
        <v>6</v>
      </c>
      <c r="D31" s="712"/>
      <c r="E31" s="712">
        <f>'2aLKT'!E49</f>
        <v>4</v>
      </c>
      <c r="F31" s="712"/>
      <c r="G31" s="712"/>
      <c r="H31" s="712">
        <f>'2aLKT'!H49</f>
        <v>738</v>
      </c>
      <c r="I31" s="712">
        <f>'2aLKT'!I49</f>
        <v>198</v>
      </c>
      <c r="J31" s="712">
        <f>'2aLKT'!J49</f>
        <v>198</v>
      </c>
      <c r="K31" s="712">
        <f>'2aLKT'!K49</f>
        <v>0</v>
      </c>
      <c r="L31" s="712">
        <f>'2aLKT'!L49</f>
        <v>0</v>
      </c>
      <c r="M31" s="715"/>
      <c r="N31" s="715"/>
      <c r="O31" s="713"/>
      <c r="P31" s="713"/>
      <c r="Q31" s="716"/>
      <c r="R31" s="729"/>
      <c r="S31" s="1186"/>
      <c r="T31" s="1195"/>
      <c r="U31" s="1186"/>
      <c r="V31" s="531"/>
      <c r="W31" s="531"/>
    </row>
    <row r="32" spans="1:23" s="514" customFormat="1" ht="15.75" customHeight="1">
      <c r="A32" s="1112" t="s">
        <v>157</v>
      </c>
      <c r="B32" s="1113" t="s">
        <v>879</v>
      </c>
      <c r="C32" s="1115">
        <f>SUM(C33:C34)</f>
        <v>53</v>
      </c>
      <c r="D32" s="1115">
        <f t="shared" ref="D32:L32" si="11">SUM(D33:D34)</f>
        <v>0</v>
      </c>
      <c r="E32" s="1115">
        <f t="shared" si="11"/>
        <v>25</v>
      </c>
      <c r="F32" s="1115">
        <f t="shared" si="11"/>
        <v>0</v>
      </c>
      <c r="G32" s="1115">
        <f t="shared" si="11"/>
        <v>0</v>
      </c>
      <c r="H32" s="1115">
        <f t="shared" si="11"/>
        <v>3300</v>
      </c>
      <c r="I32" s="1115">
        <f t="shared" si="11"/>
        <v>4476</v>
      </c>
      <c r="J32" s="1115">
        <f t="shared" si="11"/>
        <v>2385</v>
      </c>
      <c r="K32" s="1115">
        <f t="shared" si="11"/>
        <v>298.5</v>
      </c>
      <c r="L32" s="1115">
        <f t="shared" si="11"/>
        <v>1941</v>
      </c>
      <c r="M32" s="1119"/>
      <c r="N32" s="1119"/>
      <c r="O32" s="1115"/>
      <c r="P32" s="1119"/>
      <c r="Q32" s="1119"/>
      <c r="R32" s="1117"/>
      <c r="S32" s="1184"/>
      <c r="T32" s="1184"/>
      <c r="U32" s="1184"/>
      <c r="V32" s="513"/>
      <c r="W32" s="513"/>
    </row>
    <row r="33" spans="1:23" s="684" customFormat="1" ht="13">
      <c r="A33" s="728"/>
      <c r="B33" s="714" t="s">
        <v>1370</v>
      </c>
      <c r="C33" s="712">
        <f>'2aCT'!C16</f>
        <v>29</v>
      </c>
      <c r="D33" s="712"/>
      <c r="E33" s="712">
        <f>'2aCT'!E16</f>
        <v>25</v>
      </c>
      <c r="F33" s="712"/>
      <c r="G33" s="712"/>
      <c r="H33" s="712">
        <f>'2aCT'!H16</f>
        <v>1860</v>
      </c>
      <c r="I33" s="712">
        <f>'2aCT'!I16</f>
        <v>3288</v>
      </c>
      <c r="J33" s="712">
        <f>'2aCT'!J16</f>
        <v>1642.5</v>
      </c>
      <c r="K33" s="712">
        <f>'2aCT'!K16</f>
        <v>150</v>
      </c>
      <c r="L33" s="712">
        <f>'2aCT'!L16</f>
        <v>1644</v>
      </c>
      <c r="M33" s="715"/>
      <c r="N33" s="715"/>
      <c r="O33" s="713"/>
      <c r="P33" s="713"/>
      <c r="Q33" s="716"/>
      <c r="R33" s="729"/>
      <c r="S33" s="1186"/>
      <c r="T33" s="1186"/>
      <c r="U33" s="1186"/>
      <c r="V33" s="531"/>
      <c r="W33" s="531"/>
    </row>
    <row r="34" spans="1:23" s="684" customFormat="1" ht="13">
      <c r="A34" s="728"/>
      <c r="B34" s="711" t="s">
        <v>1371</v>
      </c>
      <c r="C34" s="712">
        <f>'2aCT'!C17</f>
        <v>24</v>
      </c>
      <c r="D34" s="712"/>
      <c r="E34" s="712">
        <f>'2aCT'!E17</f>
        <v>0</v>
      </c>
      <c r="F34" s="712"/>
      <c r="G34" s="712"/>
      <c r="H34" s="712">
        <f>'2aCT'!H17</f>
        <v>1440</v>
      </c>
      <c r="I34" s="712">
        <f>'2aCT'!I17</f>
        <v>1188</v>
      </c>
      <c r="J34" s="712">
        <f>'2aCT'!J17</f>
        <v>742.5</v>
      </c>
      <c r="K34" s="712">
        <f>'2aCT'!K17</f>
        <v>148.5</v>
      </c>
      <c r="L34" s="712">
        <f>'2aCT'!L17</f>
        <v>297</v>
      </c>
      <c r="M34" s="715"/>
      <c r="N34" s="715"/>
      <c r="O34" s="713"/>
      <c r="P34" s="713"/>
      <c r="Q34" s="716"/>
      <c r="R34" s="729"/>
      <c r="S34" s="1186"/>
      <c r="T34" s="1186"/>
      <c r="U34" s="1186"/>
      <c r="V34" s="531"/>
      <c r="W34" s="531"/>
    </row>
    <row r="35" spans="1:23" s="514" customFormat="1" ht="15.75" customHeight="1">
      <c r="A35" s="1112" t="s">
        <v>158</v>
      </c>
      <c r="B35" s="1113" t="s">
        <v>880</v>
      </c>
      <c r="C35" s="1115">
        <f>SUM(C36:C37)</f>
        <v>14</v>
      </c>
      <c r="D35" s="1115">
        <f t="shared" ref="D35:L35" si="12">SUM(D36:D37)</f>
        <v>0</v>
      </c>
      <c r="E35" s="1115">
        <f t="shared" si="12"/>
        <v>4</v>
      </c>
      <c r="F35" s="1115">
        <f t="shared" si="12"/>
        <v>0</v>
      </c>
      <c r="G35" s="1115">
        <f t="shared" si="12"/>
        <v>0</v>
      </c>
      <c r="H35" s="1115">
        <f t="shared" si="12"/>
        <v>201</v>
      </c>
      <c r="I35" s="1115">
        <f t="shared" si="12"/>
        <v>148.5</v>
      </c>
      <c r="J35" s="1115">
        <f t="shared" si="12"/>
        <v>148.5</v>
      </c>
      <c r="K35" s="1115">
        <f t="shared" si="12"/>
        <v>0</v>
      </c>
      <c r="L35" s="1115">
        <f t="shared" si="12"/>
        <v>0</v>
      </c>
      <c r="M35" s="1119"/>
      <c r="N35" s="1119"/>
      <c r="O35" s="1115"/>
      <c r="P35" s="1119"/>
      <c r="Q35" s="1119"/>
      <c r="R35" s="1117"/>
      <c r="S35" s="1184"/>
      <c r="T35" s="1184"/>
      <c r="U35" s="1184"/>
      <c r="V35" s="513"/>
      <c r="W35" s="513"/>
    </row>
    <row r="36" spans="1:23" s="684" customFormat="1" ht="13">
      <c r="A36" s="728"/>
      <c r="B36" s="714" t="s">
        <v>1370</v>
      </c>
      <c r="C36" s="712">
        <f>'2aCTXH'!C90</f>
        <v>5</v>
      </c>
      <c r="D36" s="712"/>
      <c r="E36" s="712">
        <f>'2aCTXH'!E90</f>
        <v>1</v>
      </c>
      <c r="F36" s="712"/>
      <c r="G36" s="712"/>
      <c r="H36" s="712">
        <f>'2aCTXH'!H90</f>
        <v>21</v>
      </c>
      <c r="I36" s="712">
        <f>'2aCTXH'!I90</f>
        <v>0</v>
      </c>
      <c r="J36" s="712">
        <f>'2aCTXH'!J90</f>
        <v>0</v>
      </c>
      <c r="K36" s="712">
        <f>'2aCTXH'!K90</f>
        <v>0</v>
      </c>
      <c r="L36" s="712">
        <f>'2aCTXH'!L90</f>
        <v>0</v>
      </c>
      <c r="M36" s="715"/>
      <c r="N36" s="715"/>
      <c r="O36" s="713"/>
      <c r="P36" s="713"/>
      <c r="Q36" s="716"/>
      <c r="R36" s="729"/>
      <c r="S36" s="1186"/>
      <c r="T36" s="1198">
        <f>J19+J32+J38</f>
        <v>4559</v>
      </c>
      <c r="U36" s="1186"/>
      <c r="V36" s="531"/>
      <c r="W36" s="531"/>
    </row>
    <row r="37" spans="1:23" s="684" customFormat="1" ht="13">
      <c r="A37" s="728"/>
      <c r="B37" s="711" t="s">
        <v>1371</v>
      </c>
      <c r="C37" s="713">
        <f>'2aCTXH'!C92</f>
        <v>9</v>
      </c>
      <c r="D37" s="713"/>
      <c r="E37" s="713">
        <f>'2aCTXH'!E92</f>
        <v>3</v>
      </c>
      <c r="F37" s="713"/>
      <c r="G37" s="713"/>
      <c r="H37" s="713">
        <f>'2aCTXH'!H92</f>
        <v>180</v>
      </c>
      <c r="I37" s="713">
        <f>'2aCTXH'!I92</f>
        <v>148.5</v>
      </c>
      <c r="J37" s="713">
        <f>'2aCTXH'!J92</f>
        <v>148.5</v>
      </c>
      <c r="K37" s="713">
        <f>'2aCTXH'!K92</f>
        <v>0</v>
      </c>
      <c r="L37" s="713">
        <f>'2aCTXH'!L92</f>
        <v>0</v>
      </c>
      <c r="M37" s="715"/>
      <c r="N37" s="715"/>
      <c r="O37" s="713"/>
      <c r="P37" s="713"/>
      <c r="Q37" s="716"/>
      <c r="R37" s="729"/>
      <c r="S37" s="531"/>
      <c r="T37" s="531"/>
      <c r="U37" s="531"/>
      <c r="V37" s="531"/>
      <c r="W37" s="531"/>
    </row>
    <row r="38" spans="1:23" s="517" customFormat="1" ht="15.75" customHeight="1">
      <c r="A38" s="726">
        <v>3</v>
      </c>
      <c r="B38" s="707" t="s">
        <v>1413</v>
      </c>
      <c r="C38" s="738">
        <f>'2aCT'!C18</f>
        <v>6</v>
      </c>
      <c r="D38" s="738"/>
      <c r="E38" s="738">
        <f>'2aCT'!E18</f>
        <v>0</v>
      </c>
      <c r="F38" s="738"/>
      <c r="G38" s="738"/>
      <c r="H38" s="738">
        <f>'2aCT'!H18</f>
        <v>39</v>
      </c>
      <c r="I38" s="738">
        <f>'2aCT'!I18</f>
        <v>549</v>
      </c>
      <c r="J38" s="738">
        <f>'2aCT'!J18</f>
        <v>293</v>
      </c>
      <c r="K38" s="738">
        <f>'2aCT'!K18</f>
        <v>64</v>
      </c>
      <c r="L38" s="738">
        <f>'2aCT'!L18</f>
        <v>192</v>
      </c>
      <c r="M38" s="715"/>
      <c r="N38" s="715"/>
      <c r="O38" s="713"/>
      <c r="P38" s="715"/>
      <c r="Q38" s="715"/>
      <c r="R38" s="729"/>
      <c r="S38" s="515"/>
      <c r="T38" s="516"/>
      <c r="U38" s="516"/>
      <c r="V38" s="516"/>
      <c r="W38" s="516"/>
    </row>
    <row r="39" spans="1:23" s="517" customFormat="1" ht="27" customHeight="1">
      <c r="A39" s="725" t="s">
        <v>41</v>
      </c>
      <c r="B39" s="707" t="s">
        <v>175</v>
      </c>
      <c r="C39" s="708">
        <f>C40+C53</f>
        <v>264</v>
      </c>
      <c r="D39" s="708">
        <f t="shared" ref="D39:L39" si="13">D40+D53</f>
        <v>0</v>
      </c>
      <c r="E39" s="708">
        <f t="shared" si="13"/>
        <v>821</v>
      </c>
      <c r="F39" s="708">
        <f t="shared" si="13"/>
        <v>0</v>
      </c>
      <c r="G39" s="708">
        <f t="shared" si="13"/>
        <v>0</v>
      </c>
      <c r="H39" s="708">
        <f t="shared" si="13"/>
        <v>224625</v>
      </c>
      <c r="I39" s="708">
        <f t="shared" si="13"/>
        <v>45965.7</v>
      </c>
      <c r="J39" s="708">
        <f t="shared" si="13"/>
        <v>37887.199999999997</v>
      </c>
      <c r="K39" s="708">
        <f t="shared" si="13"/>
        <v>0</v>
      </c>
      <c r="L39" s="708">
        <f t="shared" si="13"/>
        <v>6600</v>
      </c>
      <c r="M39" s="709"/>
      <c r="N39" s="709"/>
      <c r="O39" s="708"/>
      <c r="P39" s="709"/>
      <c r="Q39" s="709"/>
      <c r="R39" s="727"/>
      <c r="S39" s="515"/>
      <c r="T39" s="516"/>
      <c r="U39" s="516"/>
      <c r="V39" s="516"/>
      <c r="W39" s="516"/>
    </row>
    <row r="40" spans="1:23" s="517" customFormat="1" ht="15.75" customHeight="1">
      <c r="A40" s="726">
        <v>1</v>
      </c>
      <c r="B40" s="550" t="s">
        <v>176</v>
      </c>
      <c r="C40" s="708">
        <f>C41+C44+C47+C50</f>
        <v>193</v>
      </c>
      <c r="D40" s="708">
        <f t="shared" ref="D40:K40" si="14">D41+D44+D47+D50</f>
        <v>0</v>
      </c>
      <c r="E40" s="708">
        <f t="shared" si="14"/>
        <v>753</v>
      </c>
      <c r="F40" s="708">
        <f t="shared" si="14"/>
        <v>0</v>
      </c>
      <c r="G40" s="708">
        <f t="shared" si="14"/>
        <v>0</v>
      </c>
      <c r="H40" s="708">
        <f t="shared" si="14"/>
        <v>216815</v>
      </c>
      <c r="I40" s="708">
        <f t="shared" si="14"/>
        <v>44467.5</v>
      </c>
      <c r="J40" s="708">
        <f>J41+J44+J47+J50</f>
        <v>36389</v>
      </c>
      <c r="K40" s="708">
        <f t="shared" si="14"/>
        <v>0</v>
      </c>
      <c r="L40" s="708">
        <f>L41+L44+L47+L50</f>
        <v>6600</v>
      </c>
      <c r="M40" s="709"/>
      <c r="N40" s="709"/>
      <c r="O40" s="708"/>
      <c r="P40" s="709"/>
      <c r="Q40" s="709"/>
      <c r="R40" s="727"/>
      <c r="S40" s="515"/>
      <c r="T40" s="516"/>
      <c r="U40" s="516"/>
      <c r="V40" s="516"/>
      <c r="W40" s="516"/>
    </row>
    <row r="41" spans="1:23" s="514" customFormat="1" ht="13.5">
      <c r="A41" s="1112" t="s">
        <v>155</v>
      </c>
      <c r="B41" s="1113" t="s">
        <v>877</v>
      </c>
      <c r="C41" s="1114">
        <f>SUM(C42:C43)</f>
        <v>54</v>
      </c>
      <c r="D41" s="1114"/>
      <c r="E41" s="1114">
        <f t="shared" ref="E41:L41" si="15">SUM(E42:E43)</f>
        <v>416</v>
      </c>
      <c r="F41" s="1114"/>
      <c r="G41" s="1114"/>
      <c r="H41" s="1114">
        <f t="shared" si="15"/>
        <v>111900</v>
      </c>
      <c r="I41" s="1114">
        <f t="shared" si="15"/>
        <v>23661</v>
      </c>
      <c r="J41" s="1114">
        <f t="shared" si="15"/>
        <v>20089.5</v>
      </c>
      <c r="K41" s="1114">
        <f t="shared" si="15"/>
        <v>0</v>
      </c>
      <c r="L41" s="1114">
        <f t="shared" si="15"/>
        <v>3080</v>
      </c>
      <c r="M41" s="988"/>
      <c r="N41" s="988"/>
      <c r="O41" s="884"/>
      <c r="P41" s="884"/>
      <c r="Q41" s="1120"/>
      <c r="R41" s="1116"/>
      <c r="S41" s="512"/>
      <c r="T41" s="513"/>
      <c r="U41" s="513"/>
      <c r="V41" s="513"/>
      <c r="W41" s="513"/>
    </row>
    <row r="42" spans="1:23" s="684" customFormat="1" ht="13">
      <c r="A42" s="728"/>
      <c r="B42" s="714" t="s">
        <v>1370</v>
      </c>
      <c r="C42" s="712">
        <f>'2aLH'!C55</f>
        <v>29</v>
      </c>
      <c r="D42" s="712">
        <f>'2aLH'!D55</f>
        <v>0</v>
      </c>
      <c r="E42" s="712">
        <f>'2aLH'!E55</f>
        <v>208</v>
      </c>
      <c r="F42" s="712">
        <f>'2aLH'!F55</f>
        <v>0</v>
      </c>
      <c r="G42" s="712">
        <f>'2aLH'!G55</f>
        <v>0</v>
      </c>
      <c r="H42" s="712">
        <f>'2aLH'!H55</f>
        <v>65600</v>
      </c>
      <c r="I42" s="712">
        <f>'2aLH'!I55</f>
        <v>12853.5</v>
      </c>
      <c r="J42" s="712">
        <f>'2aLH'!J55</f>
        <v>10600.5</v>
      </c>
      <c r="K42" s="712">
        <f>'2aLH'!K55</f>
        <v>0</v>
      </c>
      <c r="L42" s="712">
        <f>'2aLH'!L55</f>
        <v>1760</v>
      </c>
      <c r="M42" s="715"/>
      <c r="N42" s="715"/>
      <c r="O42" s="713"/>
      <c r="P42" s="713"/>
      <c r="Q42" s="716"/>
      <c r="R42" s="729"/>
      <c r="S42" s="531"/>
      <c r="T42" s="531"/>
      <c r="U42" s="531"/>
      <c r="V42" s="531"/>
      <c r="W42" s="531"/>
    </row>
    <row r="43" spans="1:23" s="684" customFormat="1" ht="13">
      <c r="A43" s="728"/>
      <c r="B43" s="711" t="s">
        <v>1371</v>
      </c>
      <c r="C43" s="712">
        <f>'2aLH'!C64</f>
        <v>25</v>
      </c>
      <c r="D43" s="712">
        <f>'2aLH'!D64</f>
        <v>0</v>
      </c>
      <c r="E43" s="712">
        <f>'2aLH'!E64</f>
        <v>208</v>
      </c>
      <c r="F43" s="712">
        <f>'2aLH'!F64</f>
        <v>0</v>
      </c>
      <c r="G43" s="712">
        <f>'2aLH'!G64</f>
        <v>0</v>
      </c>
      <c r="H43" s="712">
        <f>'2aLH'!H64</f>
        <v>46300</v>
      </c>
      <c r="I43" s="712">
        <f>'2aLH'!I64</f>
        <v>10807.5</v>
      </c>
      <c r="J43" s="712">
        <f>'2aLH'!J64</f>
        <v>9489</v>
      </c>
      <c r="K43" s="712">
        <f>'2aLH'!K64</f>
        <v>0</v>
      </c>
      <c r="L43" s="712">
        <f>'2aLH'!L64</f>
        <v>1320</v>
      </c>
      <c r="M43" s="715"/>
      <c r="N43" s="715"/>
      <c r="O43" s="713"/>
      <c r="P43" s="713"/>
      <c r="Q43" s="716"/>
      <c r="R43" s="729"/>
      <c r="S43" s="531"/>
      <c r="T43" s="531"/>
      <c r="U43" s="531"/>
      <c r="V43" s="531"/>
      <c r="W43" s="531"/>
    </row>
    <row r="44" spans="1:23" s="514" customFormat="1" ht="15.75" customHeight="1">
      <c r="A44" s="1112" t="s">
        <v>156</v>
      </c>
      <c r="B44" s="1113" t="s">
        <v>878</v>
      </c>
      <c r="C44" s="1115">
        <f>SUM(C45:C46)</f>
        <v>44</v>
      </c>
      <c r="D44" s="1115"/>
      <c r="E44" s="1115">
        <f t="shared" ref="E44:L44" si="16">SUM(E45:E46)</f>
        <v>319</v>
      </c>
      <c r="F44" s="1115"/>
      <c r="G44" s="1115"/>
      <c r="H44" s="1115">
        <f t="shared" si="16"/>
        <v>99300</v>
      </c>
      <c r="I44" s="1115">
        <f t="shared" si="16"/>
        <v>18183</v>
      </c>
      <c r="J44" s="1115">
        <f t="shared" si="16"/>
        <v>13676</v>
      </c>
      <c r="K44" s="1115">
        <f t="shared" si="16"/>
        <v>0</v>
      </c>
      <c r="L44" s="1115">
        <f t="shared" si="16"/>
        <v>3520</v>
      </c>
      <c r="M44" s="988"/>
      <c r="N44" s="988"/>
      <c r="O44" s="884"/>
      <c r="P44" s="988"/>
      <c r="Q44" s="988"/>
      <c r="R44" s="1116"/>
      <c r="S44" s="512"/>
      <c r="T44" s="513"/>
      <c r="U44" s="513"/>
      <c r="V44" s="513"/>
      <c r="W44" s="513"/>
    </row>
    <row r="45" spans="1:23" s="684" customFormat="1" ht="13">
      <c r="A45" s="728"/>
      <c r="B45" s="714" t="s">
        <v>1370</v>
      </c>
      <c r="C45" s="712">
        <f>'2aLKT'!C55</f>
        <v>23</v>
      </c>
      <c r="D45" s="712"/>
      <c r="E45" s="712">
        <f>'2aLKT'!E55</f>
        <v>177</v>
      </c>
      <c r="F45" s="712"/>
      <c r="G45" s="712"/>
      <c r="H45" s="712">
        <f>'2aLKT'!H55</f>
        <v>50400</v>
      </c>
      <c r="I45" s="712">
        <f>'2aLKT'!I55</f>
        <v>9784.5</v>
      </c>
      <c r="J45" s="712">
        <f>'2aLKT'!J55</f>
        <v>6597</v>
      </c>
      <c r="K45" s="712">
        <f>'2aLKT'!K55</f>
        <v>0</v>
      </c>
      <c r="L45" s="712">
        <f>'2aLKT'!L55</f>
        <v>2200</v>
      </c>
      <c r="M45" s="715"/>
      <c r="N45" s="715"/>
      <c r="O45" s="713"/>
      <c r="P45" s="713"/>
      <c r="Q45" s="716"/>
      <c r="R45" s="729"/>
      <c r="S45" s="531"/>
      <c r="T45" s="531"/>
      <c r="U45" s="531"/>
      <c r="V45" s="531"/>
      <c r="W45" s="531"/>
    </row>
    <row r="46" spans="1:23" s="684" customFormat="1" ht="13">
      <c r="A46" s="728"/>
      <c r="B46" s="711" t="s">
        <v>1371</v>
      </c>
      <c r="C46" s="712">
        <f>'2aLKT'!C63</f>
        <v>21</v>
      </c>
      <c r="D46" s="712"/>
      <c r="E46" s="712">
        <f>'2aLKT'!E63</f>
        <v>142</v>
      </c>
      <c r="F46" s="712"/>
      <c r="G46" s="712"/>
      <c r="H46" s="712">
        <f>'2aLKT'!H63</f>
        <v>48900</v>
      </c>
      <c r="I46" s="712">
        <f>'2aLKT'!I63</f>
        <v>8398.5</v>
      </c>
      <c r="J46" s="712">
        <f>'2aLKT'!J63</f>
        <v>7079</v>
      </c>
      <c r="K46" s="712">
        <f>'2aLKT'!K63</f>
        <v>0</v>
      </c>
      <c r="L46" s="712">
        <f>'2aLKT'!L63</f>
        <v>1320</v>
      </c>
      <c r="M46" s="715"/>
      <c r="N46" s="715"/>
      <c r="O46" s="713"/>
      <c r="P46" s="713"/>
      <c r="Q46" s="716"/>
      <c r="R46" s="729"/>
      <c r="S46" s="531"/>
      <c r="T46" s="531"/>
      <c r="U46" s="531"/>
      <c r="V46" s="531"/>
      <c r="W46" s="531"/>
    </row>
    <row r="47" spans="1:23" s="514" customFormat="1" ht="15.75" customHeight="1">
      <c r="A47" s="1112" t="s">
        <v>157</v>
      </c>
      <c r="B47" s="1113" t="s">
        <v>879</v>
      </c>
      <c r="C47" s="1114">
        <f>SUM(C48:C49)</f>
        <v>32</v>
      </c>
      <c r="D47" s="1114"/>
      <c r="E47" s="1114">
        <f t="shared" ref="E47:L47" si="17">SUM(E48:E49)</f>
        <v>0</v>
      </c>
      <c r="F47" s="1114"/>
      <c r="G47" s="1114"/>
      <c r="H47" s="1114">
        <f t="shared" si="17"/>
        <v>3200</v>
      </c>
      <c r="I47" s="1114">
        <f t="shared" si="17"/>
        <v>1584</v>
      </c>
      <c r="J47" s="1114">
        <f t="shared" si="17"/>
        <v>1584</v>
      </c>
      <c r="K47" s="1114">
        <f t="shared" si="17"/>
        <v>0</v>
      </c>
      <c r="L47" s="1114">
        <f t="shared" si="17"/>
        <v>0</v>
      </c>
      <c r="M47" s="988"/>
      <c r="N47" s="988"/>
      <c r="O47" s="884"/>
      <c r="P47" s="988"/>
      <c r="Q47" s="988"/>
      <c r="R47" s="1116"/>
      <c r="S47" s="512"/>
      <c r="T47" s="513"/>
      <c r="U47" s="513"/>
      <c r="V47" s="513"/>
      <c r="W47" s="513"/>
    </row>
    <row r="48" spans="1:23" s="684" customFormat="1" ht="13">
      <c r="A48" s="728"/>
      <c r="B48" s="714" t="s">
        <v>1370</v>
      </c>
      <c r="C48" s="712">
        <f>'2aCT'!C23</f>
        <v>17</v>
      </c>
      <c r="D48" s="712"/>
      <c r="E48" s="712">
        <f>'2aCT'!E23</f>
        <v>0</v>
      </c>
      <c r="F48" s="712"/>
      <c r="G48" s="712"/>
      <c r="H48" s="712">
        <f>'2aCT'!H23</f>
        <v>1700</v>
      </c>
      <c r="I48" s="712">
        <f>'2aCT'!I23</f>
        <v>841.5</v>
      </c>
      <c r="J48" s="712">
        <f>'2aCT'!J23</f>
        <v>841.5</v>
      </c>
      <c r="K48" s="712">
        <f>'2aCT'!K23</f>
        <v>0</v>
      </c>
      <c r="L48" s="712">
        <f>'2aCT'!L23</f>
        <v>0</v>
      </c>
      <c r="M48" s="715"/>
      <c r="N48" s="715"/>
      <c r="O48" s="713"/>
      <c r="P48" s="713"/>
      <c r="Q48" s="716"/>
      <c r="R48" s="729"/>
      <c r="S48" s="531"/>
      <c r="T48" s="531"/>
      <c r="U48" s="531"/>
      <c r="V48" s="531"/>
      <c r="W48" s="531"/>
    </row>
    <row r="49" spans="1:23" s="684" customFormat="1" ht="13">
      <c r="A49" s="728"/>
      <c r="B49" s="711" t="s">
        <v>1371</v>
      </c>
      <c r="C49" s="712">
        <f>'2aCT'!C24</f>
        <v>15</v>
      </c>
      <c r="D49" s="712"/>
      <c r="E49" s="712">
        <f>'2aCT'!E24</f>
        <v>0</v>
      </c>
      <c r="F49" s="712"/>
      <c r="G49" s="712"/>
      <c r="H49" s="712">
        <f>'2aCT'!H24</f>
        <v>1500</v>
      </c>
      <c r="I49" s="712">
        <f>'2aCT'!I24</f>
        <v>742.5</v>
      </c>
      <c r="J49" s="712">
        <f>'2aCT'!J24</f>
        <v>742.5</v>
      </c>
      <c r="K49" s="712">
        <f>'2aCT'!K24</f>
        <v>0</v>
      </c>
      <c r="L49" s="712">
        <f>'2aCT'!L24</f>
        <v>0</v>
      </c>
      <c r="M49" s="715"/>
      <c r="N49" s="715"/>
      <c r="O49" s="713"/>
      <c r="P49" s="713"/>
      <c r="Q49" s="716"/>
      <c r="R49" s="729"/>
      <c r="S49" s="531"/>
      <c r="T49" s="531"/>
      <c r="U49" s="531"/>
      <c r="V49" s="531"/>
      <c r="W49" s="531"/>
    </row>
    <row r="50" spans="1:23" s="514" customFormat="1" ht="15.75" customHeight="1">
      <c r="A50" s="1112" t="s">
        <v>158</v>
      </c>
      <c r="B50" s="1113" t="s">
        <v>880</v>
      </c>
      <c r="C50" s="1114">
        <f>SUM(C51:C52)</f>
        <v>63</v>
      </c>
      <c r="D50" s="1114"/>
      <c r="E50" s="1114">
        <f t="shared" ref="E50:L50" si="18">SUM(E51:E52)</f>
        <v>18</v>
      </c>
      <c r="F50" s="1114"/>
      <c r="G50" s="1114"/>
      <c r="H50" s="1114">
        <f t="shared" si="18"/>
        <v>2415</v>
      </c>
      <c r="I50" s="1114">
        <f t="shared" si="18"/>
        <v>1039.5</v>
      </c>
      <c r="J50" s="1114">
        <f t="shared" si="18"/>
        <v>1039.5</v>
      </c>
      <c r="K50" s="1114">
        <f t="shared" si="18"/>
        <v>0</v>
      </c>
      <c r="L50" s="1114">
        <f t="shared" si="18"/>
        <v>0</v>
      </c>
      <c r="M50" s="988"/>
      <c r="N50" s="988"/>
      <c r="O50" s="884"/>
      <c r="P50" s="988"/>
      <c r="Q50" s="988"/>
      <c r="R50" s="1116"/>
      <c r="S50" s="512"/>
      <c r="T50" s="513"/>
      <c r="U50" s="513"/>
      <c r="V50" s="513"/>
      <c r="W50" s="513"/>
    </row>
    <row r="51" spans="1:23" s="684" customFormat="1" ht="13">
      <c r="A51" s="728"/>
      <c r="B51" s="714" t="s">
        <v>1370</v>
      </c>
      <c r="C51" s="712">
        <f>'2aCTXH'!C98</f>
        <v>51</v>
      </c>
      <c r="D51" s="712"/>
      <c r="E51" s="712">
        <f>'2aCTXH'!E98</f>
        <v>14</v>
      </c>
      <c r="F51" s="712"/>
      <c r="G51" s="712"/>
      <c r="H51" s="712">
        <f>'2aCTXH'!H98</f>
        <v>1635</v>
      </c>
      <c r="I51" s="712">
        <f>'2aCTXH'!I98</f>
        <v>841.5</v>
      </c>
      <c r="J51" s="712">
        <f>'2aCTXH'!J98</f>
        <v>841.5</v>
      </c>
      <c r="K51" s="712">
        <f>'2aCTXH'!K98</f>
        <v>0</v>
      </c>
      <c r="L51" s="712">
        <f>'2aCTXH'!L98</f>
        <v>0</v>
      </c>
      <c r="M51" s="715"/>
      <c r="N51" s="715"/>
      <c r="O51" s="713"/>
      <c r="P51" s="713"/>
      <c r="Q51" s="716"/>
      <c r="R51" s="729"/>
      <c r="S51" s="531"/>
      <c r="T51" s="531"/>
      <c r="U51" s="531"/>
      <c r="V51" s="531"/>
      <c r="W51" s="531"/>
    </row>
    <row r="52" spans="1:23" s="684" customFormat="1" ht="13">
      <c r="A52" s="728"/>
      <c r="B52" s="711" t="s">
        <v>1371</v>
      </c>
      <c r="C52" s="712">
        <f>'2aCTXH'!C113</f>
        <v>12</v>
      </c>
      <c r="D52" s="712"/>
      <c r="E52" s="712">
        <f>'2aCTXH'!E113</f>
        <v>4</v>
      </c>
      <c r="F52" s="712"/>
      <c r="G52" s="712"/>
      <c r="H52" s="712">
        <f>'2aCTXH'!H113</f>
        <v>780</v>
      </c>
      <c r="I52" s="712">
        <f>'2aCTXH'!I113</f>
        <v>198</v>
      </c>
      <c r="J52" s="712">
        <f>'2aCTXH'!J113</f>
        <v>198</v>
      </c>
      <c r="K52" s="712">
        <f>'2aCTXH'!K113</f>
        <v>0</v>
      </c>
      <c r="L52" s="712">
        <f>'2aCTXH'!L113</f>
        <v>0</v>
      </c>
      <c r="M52" s="715"/>
      <c r="N52" s="715"/>
      <c r="O52" s="713"/>
      <c r="P52" s="713"/>
      <c r="Q52" s="716"/>
      <c r="R52" s="729"/>
      <c r="S52" s="531"/>
      <c r="T52" s="531"/>
      <c r="U52" s="531"/>
      <c r="V52" s="531"/>
      <c r="W52" s="531"/>
    </row>
    <row r="53" spans="1:23" s="517" customFormat="1" ht="15.75" customHeight="1">
      <c r="A53" s="726">
        <v>2</v>
      </c>
      <c r="B53" s="707" t="s">
        <v>177</v>
      </c>
      <c r="C53" s="708">
        <f>C54+C57</f>
        <v>71</v>
      </c>
      <c r="D53" s="708">
        <f t="shared" ref="D53:L53" si="19">D54+D57</f>
        <v>0</v>
      </c>
      <c r="E53" s="708">
        <f t="shared" si="19"/>
        <v>68</v>
      </c>
      <c r="F53" s="708">
        <f t="shared" si="19"/>
        <v>0</v>
      </c>
      <c r="G53" s="708">
        <f t="shared" si="19"/>
        <v>0</v>
      </c>
      <c r="H53" s="708">
        <f t="shared" si="19"/>
        <v>7810</v>
      </c>
      <c r="I53" s="708">
        <f t="shared" si="19"/>
        <v>1498.2</v>
      </c>
      <c r="J53" s="708">
        <f>J54+J57</f>
        <v>1498.2</v>
      </c>
      <c r="K53" s="708">
        <f t="shared" si="19"/>
        <v>0</v>
      </c>
      <c r="L53" s="708">
        <f t="shared" si="19"/>
        <v>0</v>
      </c>
      <c r="M53" s="709"/>
      <c r="N53" s="709"/>
      <c r="O53" s="708"/>
      <c r="P53" s="709"/>
      <c r="Q53" s="709"/>
      <c r="R53" s="727"/>
      <c r="S53" s="515"/>
      <c r="T53" s="516"/>
      <c r="U53" s="516"/>
      <c r="V53" s="516"/>
      <c r="W53" s="516"/>
    </row>
    <row r="54" spans="1:23" s="514" customFormat="1" ht="13.5">
      <c r="A54" s="1112" t="s">
        <v>155</v>
      </c>
      <c r="B54" s="1121" t="s">
        <v>877</v>
      </c>
      <c r="C54" s="1114">
        <f>SUM(C55:C56)</f>
        <v>39</v>
      </c>
      <c r="D54" s="1114"/>
      <c r="E54" s="1114">
        <f t="shared" ref="E54:L54" si="20">SUM(E55:E56)</f>
        <v>24</v>
      </c>
      <c r="F54" s="1114"/>
      <c r="G54" s="1114"/>
      <c r="H54" s="1114">
        <f t="shared" si="20"/>
        <v>4290</v>
      </c>
      <c r="I54" s="1114">
        <f t="shared" si="20"/>
        <v>1287</v>
      </c>
      <c r="J54" s="1114">
        <f t="shared" si="20"/>
        <v>1287</v>
      </c>
      <c r="K54" s="1114">
        <f t="shared" si="20"/>
        <v>0</v>
      </c>
      <c r="L54" s="1114">
        <f t="shared" si="20"/>
        <v>0</v>
      </c>
      <c r="M54" s="988"/>
      <c r="N54" s="988"/>
      <c r="O54" s="884"/>
      <c r="P54" s="884"/>
      <c r="Q54" s="1120"/>
      <c r="R54" s="1116"/>
      <c r="S54" s="512"/>
      <c r="T54" s="513"/>
      <c r="U54" s="513"/>
      <c r="V54" s="513"/>
      <c r="W54" s="513"/>
    </row>
    <row r="55" spans="1:23" s="684" customFormat="1" ht="13">
      <c r="A55" s="728"/>
      <c r="B55" s="714" t="s">
        <v>1370</v>
      </c>
      <c r="C55" s="712">
        <f>'2aLH'!C74</f>
        <v>20</v>
      </c>
      <c r="D55" s="712"/>
      <c r="E55" s="712">
        <f>'2aLH'!E74</f>
        <v>10</v>
      </c>
      <c r="F55" s="712"/>
      <c r="G55" s="712"/>
      <c r="H55" s="712">
        <f>'2aLH'!H74</f>
        <v>2200</v>
      </c>
      <c r="I55" s="712">
        <f>'2aLH'!I74</f>
        <v>660</v>
      </c>
      <c r="J55" s="712">
        <f>'2aLH'!J74</f>
        <v>660</v>
      </c>
      <c r="K55" s="712">
        <f>'2aLH'!K74</f>
        <v>0</v>
      </c>
      <c r="L55" s="712">
        <f>'2aLH'!L74</f>
        <v>0</v>
      </c>
      <c r="M55" s="715"/>
      <c r="N55" s="715"/>
      <c r="O55" s="713"/>
      <c r="P55" s="713"/>
      <c r="Q55" s="716"/>
      <c r="R55" s="729"/>
      <c r="S55" s="531"/>
      <c r="T55" s="531"/>
      <c r="U55" s="531"/>
      <c r="V55" s="531"/>
      <c r="W55" s="531"/>
    </row>
    <row r="56" spans="1:23" s="684" customFormat="1" ht="13">
      <c r="A56" s="728"/>
      <c r="B56" s="711" t="s">
        <v>1371</v>
      </c>
      <c r="C56" s="712">
        <f>'2aLH'!C80</f>
        <v>19</v>
      </c>
      <c r="D56" s="712"/>
      <c r="E56" s="712">
        <f>'2aLH'!E80</f>
        <v>14</v>
      </c>
      <c r="F56" s="712"/>
      <c r="G56" s="712"/>
      <c r="H56" s="712">
        <f>'2aLH'!H80</f>
        <v>2090</v>
      </c>
      <c r="I56" s="712">
        <f>'2aLH'!I80</f>
        <v>627</v>
      </c>
      <c r="J56" s="712">
        <f>'2aLH'!J80</f>
        <v>627</v>
      </c>
      <c r="K56" s="712">
        <f>'2aLH'!K80</f>
        <v>0</v>
      </c>
      <c r="L56" s="712">
        <f>'2aLH'!L80</f>
        <v>0</v>
      </c>
      <c r="M56" s="715"/>
      <c r="N56" s="715"/>
      <c r="O56" s="713"/>
      <c r="P56" s="713"/>
      <c r="Q56" s="716"/>
      <c r="R56" s="729"/>
      <c r="S56" s="531"/>
      <c r="T56" s="531"/>
      <c r="U56" s="531"/>
      <c r="V56" s="531"/>
      <c r="W56" s="531"/>
    </row>
    <row r="57" spans="1:23" s="514" customFormat="1" ht="13.5">
      <c r="A57" s="1112" t="s">
        <v>156</v>
      </c>
      <c r="B57" s="1121" t="s">
        <v>744</v>
      </c>
      <c r="C57" s="1114">
        <f>SUM(C58:C59)</f>
        <v>32</v>
      </c>
      <c r="D57" s="1114"/>
      <c r="E57" s="1114">
        <f t="shared" ref="E57:L57" si="21">SUM(E58:E59)</f>
        <v>44</v>
      </c>
      <c r="F57" s="1114"/>
      <c r="G57" s="1114"/>
      <c r="H57" s="1114">
        <f t="shared" si="21"/>
        <v>3520</v>
      </c>
      <c r="I57" s="1114">
        <f t="shared" si="21"/>
        <v>211.2</v>
      </c>
      <c r="J57" s="1114">
        <f t="shared" si="21"/>
        <v>211.2</v>
      </c>
      <c r="K57" s="1114">
        <f t="shared" si="21"/>
        <v>0</v>
      </c>
      <c r="L57" s="1114">
        <f t="shared" si="21"/>
        <v>0</v>
      </c>
      <c r="M57" s="988"/>
      <c r="N57" s="988"/>
      <c r="O57" s="884"/>
      <c r="P57" s="884"/>
      <c r="Q57" s="1120"/>
      <c r="R57" s="1116"/>
      <c r="S57" s="512"/>
      <c r="T57" s="513"/>
      <c r="U57" s="513"/>
      <c r="V57" s="513"/>
      <c r="W57" s="513"/>
    </row>
    <row r="58" spans="1:23" s="684" customFormat="1" ht="13">
      <c r="A58" s="728"/>
      <c r="B58" s="714" t="s">
        <v>1370</v>
      </c>
      <c r="C58" s="712">
        <f>'2aLKT'!C71</f>
        <v>14</v>
      </c>
      <c r="D58" s="712"/>
      <c r="E58" s="712">
        <f>'2aLKT'!E71</f>
        <v>32</v>
      </c>
      <c r="F58" s="712"/>
      <c r="G58" s="712"/>
      <c r="H58" s="712">
        <f>'2aLKT'!H71</f>
        <v>1540</v>
      </c>
      <c r="I58" s="712">
        <f>'2aLKT'!I71</f>
        <v>92.399999999999991</v>
      </c>
      <c r="J58" s="712">
        <f>'2aLKT'!J71</f>
        <v>92.399999999999991</v>
      </c>
      <c r="K58" s="712">
        <f>'2aLKT'!K71</f>
        <v>0</v>
      </c>
      <c r="L58" s="712">
        <f>'2aLKT'!L71</f>
        <v>0</v>
      </c>
      <c r="M58" s="715"/>
      <c r="N58" s="715"/>
      <c r="O58" s="713"/>
      <c r="P58" s="713"/>
      <c r="Q58" s="716"/>
      <c r="R58" s="729"/>
      <c r="S58" s="531"/>
      <c r="T58" s="531"/>
      <c r="U58" s="531"/>
      <c r="V58" s="531"/>
      <c r="W58" s="531"/>
    </row>
    <row r="59" spans="1:23" s="684" customFormat="1" ht="13.5" thickBot="1">
      <c r="A59" s="730"/>
      <c r="B59" s="731" t="s">
        <v>1371</v>
      </c>
      <c r="C59" s="732">
        <f>'2aLKT'!C76</f>
        <v>18</v>
      </c>
      <c r="D59" s="732"/>
      <c r="E59" s="732">
        <f>'2aLKT'!E76</f>
        <v>12</v>
      </c>
      <c r="F59" s="732"/>
      <c r="G59" s="732"/>
      <c r="H59" s="732">
        <f>'2aLKT'!H76</f>
        <v>1980</v>
      </c>
      <c r="I59" s="732">
        <f>'2aLKT'!I76</f>
        <v>118.79999999999998</v>
      </c>
      <c r="J59" s="732">
        <f>'2aLKT'!J76</f>
        <v>118.79999999999998</v>
      </c>
      <c r="K59" s="732">
        <f>'2aLKT'!K76</f>
        <v>0</v>
      </c>
      <c r="L59" s="732">
        <f>'2aLKT'!L76</f>
        <v>0</v>
      </c>
      <c r="M59" s="733"/>
      <c r="N59" s="733"/>
      <c r="O59" s="734"/>
      <c r="P59" s="734"/>
      <c r="Q59" s="735"/>
      <c r="R59" s="736"/>
      <c r="S59" s="531"/>
      <c r="T59" s="531"/>
      <c r="U59" s="531"/>
      <c r="V59" s="531"/>
      <c r="W59" s="531"/>
    </row>
    <row r="60" spans="1:23" ht="21" customHeight="1">
      <c r="A60" s="692"/>
      <c r="B60" s="1327"/>
      <c r="C60" s="1327"/>
      <c r="D60" s="1327"/>
      <c r="E60" s="1327"/>
      <c r="F60" s="1327"/>
      <c r="G60" s="1327"/>
      <c r="H60" s="1327"/>
      <c r="I60" s="1327"/>
      <c r="J60" s="1327"/>
      <c r="K60" s="1327"/>
      <c r="L60" s="1327"/>
      <c r="M60" s="520"/>
      <c r="N60" s="1318" t="s">
        <v>42</v>
      </c>
      <c r="O60" s="1318"/>
      <c r="P60" s="1318"/>
      <c r="Q60" s="1318"/>
      <c r="R60" s="1093"/>
      <c r="S60" s="501"/>
      <c r="T60" s="502"/>
      <c r="U60" s="502"/>
      <c r="V60" s="502"/>
      <c r="W60" s="502"/>
    </row>
    <row r="61" spans="1:23" ht="39.75" customHeight="1">
      <c r="A61" s="692"/>
      <c r="B61" s="1328" t="s">
        <v>180</v>
      </c>
      <c r="C61" s="1328"/>
      <c r="D61" s="1328"/>
      <c r="E61" s="1328"/>
      <c r="F61" s="1328"/>
      <c r="G61" s="1328"/>
      <c r="H61" s="1328"/>
      <c r="I61" s="1328"/>
      <c r="J61" s="1328"/>
      <c r="K61" s="1328"/>
      <c r="L61" s="1328"/>
      <c r="M61" s="520"/>
      <c r="N61" s="1297" t="s">
        <v>43</v>
      </c>
      <c r="O61" s="1297"/>
      <c r="P61" s="1297"/>
      <c r="Q61" s="1297"/>
      <c r="R61" s="1093"/>
      <c r="S61" s="501"/>
      <c r="T61" s="502"/>
      <c r="U61" s="502"/>
      <c r="V61" s="502"/>
      <c r="W61" s="502"/>
    </row>
    <row r="62" spans="1:23" ht="20.25" customHeight="1">
      <c r="A62" s="692"/>
      <c r="B62" s="1322" t="s">
        <v>181</v>
      </c>
      <c r="C62" s="1322"/>
      <c r="D62" s="1322"/>
      <c r="E62" s="1322"/>
      <c r="F62" s="1322"/>
      <c r="G62" s="1322"/>
      <c r="H62" s="1322"/>
      <c r="I62" s="1322"/>
      <c r="J62" s="1322"/>
      <c r="K62" s="1322"/>
      <c r="L62" s="1322"/>
      <c r="M62" s="520"/>
      <c r="N62" s="26"/>
      <c r="O62" s="26"/>
      <c r="P62" s="26"/>
      <c r="Q62" s="26"/>
      <c r="R62" s="1093"/>
      <c r="S62" s="501"/>
      <c r="T62" s="502"/>
      <c r="U62" s="502"/>
      <c r="V62" s="502"/>
      <c r="W62" s="502"/>
    </row>
    <row r="63" spans="1:23" ht="15" customHeight="1">
      <c r="A63" s="692"/>
      <c r="B63" s="521" t="s">
        <v>182</v>
      </c>
      <c r="C63" s="522"/>
      <c r="D63" s="522"/>
      <c r="E63" s="522"/>
      <c r="F63" s="522"/>
      <c r="G63" s="522"/>
      <c r="H63" s="522"/>
      <c r="I63" s="498"/>
      <c r="J63" s="522"/>
      <c r="K63" s="522"/>
      <c r="L63" s="522"/>
      <c r="M63" s="520"/>
      <c r="N63" s="26"/>
      <c r="O63" s="26"/>
      <c r="P63" s="26"/>
      <c r="Q63" s="26"/>
      <c r="R63" s="519"/>
      <c r="S63" s="501"/>
      <c r="T63" s="502"/>
      <c r="U63" s="502"/>
      <c r="V63" s="502"/>
      <c r="W63" s="502"/>
    </row>
    <row r="64" spans="1:23">
      <c r="A64" s="692"/>
      <c r="B64" s="521" t="s">
        <v>183</v>
      </c>
      <c r="C64" s="520"/>
      <c r="D64" s="520"/>
      <c r="E64" s="520"/>
      <c r="F64" s="520"/>
      <c r="G64" s="520"/>
      <c r="H64" s="520"/>
      <c r="I64" s="498"/>
      <c r="J64" s="520"/>
      <c r="K64" s="520"/>
      <c r="L64" s="520"/>
      <c r="M64" s="520"/>
      <c r="N64" s="26"/>
      <c r="O64" s="26"/>
      <c r="P64" s="26"/>
      <c r="Q64" s="26"/>
      <c r="R64" s="501"/>
      <c r="S64" s="501"/>
      <c r="T64" s="502"/>
      <c r="U64" s="502"/>
      <c r="V64" s="502"/>
      <c r="W64" s="502"/>
    </row>
    <row r="65" spans="1:23">
      <c r="A65" s="692"/>
      <c r="B65" s="521" t="s">
        <v>184</v>
      </c>
      <c r="C65" s="520"/>
      <c r="D65" s="520"/>
      <c r="E65" s="520"/>
      <c r="F65" s="520"/>
      <c r="G65" s="520"/>
      <c r="H65" s="520"/>
      <c r="I65" s="498"/>
      <c r="J65" s="520"/>
      <c r="K65" s="520"/>
      <c r="L65" s="520"/>
      <c r="M65" s="520"/>
      <c r="N65" s="26"/>
      <c r="O65" s="26"/>
      <c r="P65" s="26"/>
      <c r="Q65" s="26"/>
      <c r="R65" s="501"/>
      <c r="S65" s="501"/>
      <c r="T65" s="502"/>
      <c r="U65" s="502"/>
      <c r="V65" s="502"/>
      <c r="W65" s="502"/>
    </row>
    <row r="66" spans="1:23">
      <c r="A66" s="692"/>
      <c r="B66" s="521" t="s">
        <v>185</v>
      </c>
      <c r="C66" s="520"/>
      <c r="D66" s="520"/>
      <c r="E66" s="520"/>
      <c r="F66" s="520"/>
      <c r="G66" s="520"/>
      <c r="H66" s="520"/>
      <c r="I66" s="498"/>
      <c r="J66" s="520"/>
      <c r="K66" s="520"/>
      <c r="L66" s="520"/>
      <c r="M66" s="520"/>
      <c r="N66" s="1313" t="s">
        <v>1428</v>
      </c>
      <c r="O66" s="1313"/>
      <c r="P66" s="1313"/>
      <c r="Q66" s="1313"/>
      <c r="R66" s="501"/>
      <c r="S66" s="501"/>
      <c r="T66" s="502"/>
      <c r="U66" s="502"/>
      <c r="V66" s="502"/>
      <c r="W66" s="502"/>
    </row>
    <row r="67" spans="1:23">
      <c r="A67" s="692"/>
      <c r="B67" s="519"/>
      <c r="C67" s="523"/>
      <c r="D67" s="523"/>
      <c r="E67" s="523"/>
      <c r="F67" s="523"/>
      <c r="G67" s="523"/>
      <c r="H67" s="523"/>
      <c r="I67" s="498"/>
      <c r="J67" s="520"/>
      <c r="K67" s="520"/>
      <c r="L67" s="520"/>
      <c r="M67" s="520"/>
      <c r="N67" s="520"/>
      <c r="O67" s="696"/>
      <c r="P67" s="520"/>
      <c r="Q67" s="520"/>
      <c r="R67" s="501"/>
      <c r="S67" s="501"/>
      <c r="T67" s="502"/>
      <c r="U67" s="502"/>
      <c r="V67" s="502"/>
      <c r="W67" s="502"/>
    </row>
    <row r="68" spans="1:23">
      <c r="A68" s="692"/>
      <c r="B68" s="519"/>
      <c r="C68" s="523"/>
      <c r="D68" s="523"/>
      <c r="E68" s="523"/>
      <c r="F68" s="523"/>
      <c r="G68" s="523"/>
      <c r="H68" s="523"/>
      <c r="I68" s="498"/>
      <c r="J68" s="520"/>
      <c r="K68" s="520"/>
      <c r="L68" s="520"/>
      <c r="M68" s="520"/>
      <c r="N68" s="520"/>
      <c r="O68" s="696"/>
      <c r="P68" s="520"/>
      <c r="Q68" s="520"/>
      <c r="R68" s="501"/>
      <c r="S68" s="501"/>
      <c r="T68" s="502"/>
      <c r="U68" s="502"/>
      <c r="V68" s="502"/>
      <c r="W68" s="502"/>
    </row>
    <row r="69" spans="1:23" ht="13.5" customHeight="1">
      <c r="A69" s="692"/>
      <c r="B69" s="519"/>
      <c r="C69" s="521"/>
      <c r="D69" s="521"/>
      <c r="E69" s="521"/>
      <c r="F69" s="521"/>
      <c r="G69" s="521"/>
      <c r="H69" s="521"/>
      <c r="I69" s="498"/>
      <c r="J69" s="520"/>
      <c r="K69" s="520"/>
      <c r="L69" s="520"/>
      <c r="M69" s="520"/>
      <c r="N69" s="520"/>
      <c r="O69" s="696"/>
      <c r="P69" s="520"/>
      <c r="Q69" s="520"/>
      <c r="R69" s="501"/>
      <c r="S69" s="501"/>
      <c r="T69" s="502"/>
      <c r="U69" s="502"/>
      <c r="V69" s="502"/>
      <c r="W69" s="502"/>
    </row>
    <row r="70" spans="1:23">
      <c r="A70" s="692"/>
      <c r="B70" s="519"/>
      <c r="C70" s="520"/>
      <c r="D70" s="520"/>
      <c r="E70" s="520"/>
      <c r="F70" s="520"/>
      <c r="G70" s="520"/>
      <c r="H70" s="520"/>
      <c r="I70" s="498"/>
      <c r="J70" s="520"/>
      <c r="K70" s="520"/>
      <c r="L70" s="520"/>
      <c r="M70" s="520"/>
      <c r="N70" s="520"/>
      <c r="O70" s="696"/>
      <c r="P70" s="520"/>
      <c r="Q70" s="520"/>
      <c r="R70" s="501"/>
      <c r="S70" s="501"/>
      <c r="T70" s="502"/>
      <c r="U70" s="502"/>
      <c r="V70" s="502"/>
      <c r="W70" s="502"/>
    </row>
    <row r="71" spans="1:23">
      <c r="A71" s="692"/>
      <c r="B71" s="519"/>
      <c r="C71" s="520"/>
      <c r="D71" s="520"/>
      <c r="E71" s="520"/>
      <c r="F71" s="520"/>
      <c r="G71" s="520"/>
      <c r="H71" s="520"/>
      <c r="I71" s="498"/>
      <c r="J71" s="520"/>
      <c r="K71" s="520"/>
      <c r="L71" s="520"/>
      <c r="M71" s="520"/>
      <c r="N71" s="520"/>
      <c r="O71" s="696"/>
      <c r="P71" s="520"/>
      <c r="Q71" s="520"/>
      <c r="R71" s="501"/>
      <c r="S71" s="501"/>
      <c r="T71" s="502"/>
      <c r="U71" s="502"/>
      <c r="V71" s="502"/>
      <c r="W71" s="502"/>
    </row>
    <row r="72" spans="1:23">
      <c r="A72" s="692"/>
      <c r="B72" s="519"/>
      <c r="C72" s="520"/>
      <c r="D72" s="520"/>
      <c r="E72" s="520"/>
      <c r="F72" s="520"/>
      <c r="G72" s="520"/>
      <c r="H72" s="520"/>
      <c r="I72" s="498"/>
      <c r="J72" s="520"/>
      <c r="K72" s="520"/>
      <c r="L72" s="520"/>
      <c r="M72" s="520"/>
      <c r="N72" s="520"/>
      <c r="O72" s="696"/>
      <c r="P72" s="520"/>
      <c r="Q72" s="520"/>
      <c r="R72" s="501"/>
      <c r="S72" s="501"/>
      <c r="T72" s="502"/>
      <c r="U72" s="502"/>
      <c r="V72" s="502"/>
      <c r="W72" s="502"/>
    </row>
    <row r="73" spans="1:23">
      <c r="A73" s="692"/>
      <c r="B73" s="519"/>
      <c r="C73" s="520"/>
      <c r="D73" s="520"/>
      <c r="E73" s="520"/>
      <c r="F73" s="520"/>
      <c r="G73" s="520"/>
      <c r="H73" s="520"/>
      <c r="I73" s="498"/>
      <c r="J73" s="520"/>
      <c r="K73" s="520"/>
      <c r="L73" s="520"/>
      <c r="M73" s="520"/>
      <c r="N73" s="520"/>
      <c r="O73" s="696"/>
      <c r="P73" s="520"/>
      <c r="Q73" s="520"/>
      <c r="R73" s="501"/>
      <c r="S73" s="501"/>
      <c r="T73" s="502"/>
      <c r="U73" s="502"/>
      <c r="V73" s="502"/>
      <c r="W73" s="502"/>
    </row>
    <row r="74" spans="1:23">
      <c r="A74" s="692"/>
      <c r="B74" s="519"/>
      <c r="C74" s="520"/>
      <c r="D74" s="520"/>
      <c r="E74" s="520"/>
      <c r="F74" s="520"/>
      <c r="G74" s="520"/>
      <c r="H74" s="520"/>
      <c r="I74" s="498"/>
      <c r="J74" s="520"/>
      <c r="K74" s="520"/>
      <c r="L74" s="520"/>
      <c r="M74" s="520"/>
      <c r="N74" s="520"/>
      <c r="O74" s="696"/>
      <c r="P74" s="520"/>
      <c r="Q74" s="520"/>
      <c r="R74" s="501"/>
      <c r="S74" s="501"/>
      <c r="T74" s="502"/>
      <c r="U74" s="502"/>
      <c r="V74" s="502"/>
      <c r="W74" s="502"/>
    </row>
    <row r="75" spans="1:23">
      <c r="A75" s="692"/>
      <c r="B75" s="519"/>
      <c r="C75" s="520"/>
      <c r="D75" s="520"/>
      <c r="E75" s="520"/>
      <c r="F75" s="520"/>
      <c r="G75" s="520"/>
      <c r="H75" s="520"/>
      <c r="I75" s="498"/>
      <c r="J75" s="520"/>
      <c r="K75" s="520"/>
      <c r="L75" s="520"/>
      <c r="M75" s="520"/>
      <c r="N75" s="520"/>
      <c r="O75" s="696"/>
      <c r="P75" s="520"/>
      <c r="Q75" s="520"/>
      <c r="R75" s="501"/>
      <c r="S75" s="501"/>
      <c r="T75" s="502"/>
      <c r="U75" s="502"/>
      <c r="V75" s="502"/>
      <c r="W75" s="502"/>
    </row>
    <row r="76" spans="1:23">
      <c r="A76" s="692"/>
      <c r="B76" s="519"/>
      <c r="C76" s="520"/>
      <c r="D76" s="520"/>
      <c r="E76" s="520"/>
      <c r="F76" s="520"/>
      <c r="G76" s="520"/>
      <c r="H76" s="520"/>
      <c r="I76" s="498"/>
      <c r="J76" s="520"/>
      <c r="K76" s="520"/>
      <c r="L76" s="520"/>
      <c r="M76" s="520"/>
      <c r="N76" s="520"/>
      <c r="O76" s="696"/>
      <c r="P76" s="520"/>
      <c r="Q76" s="520"/>
      <c r="R76" s="501"/>
      <c r="S76" s="501"/>
      <c r="T76" s="502"/>
      <c r="U76" s="502"/>
      <c r="V76" s="502"/>
      <c r="W76" s="502"/>
    </row>
    <row r="77" spans="1:23">
      <c r="A77" s="692"/>
      <c r="B77" s="519"/>
      <c r="C77" s="520"/>
      <c r="D77" s="520"/>
      <c r="E77" s="520"/>
      <c r="F77" s="520"/>
      <c r="G77" s="520"/>
      <c r="H77" s="520"/>
      <c r="I77" s="498"/>
      <c r="J77" s="520"/>
      <c r="K77" s="520"/>
      <c r="L77" s="520"/>
      <c r="M77" s="520"/>
      <c r="N77" s="520"/>
      <c r="O77" s="696"/>
      <c r="P77" s="520"/>
      <c r="Q77" s="520"/>
      <c r="R77" s="501"/>
      <c r="S77" s="501"/>
      <c r="T77" s="502"/>
      <c r="U77" s="502"/>
      <c r="V77" s="502"/>
      <c r="W77" s="502"/>
    </row>
    <row r="78" spans="1:23">
      <c r="A78" s="692"/>
      <c r="B78" s="519"/>
      <c r="C78" s="520"/>
      <c r="D78" s="520"/>
      <c r="E78" s="520"/>
      <c r="F78" s="520"/>
      <c r="G78" s="520"/>
      <c r="H78" s="520"/>
      <c r="I78" s="498"/>
      <c r="J78" s="520"/>
      <c r="K78" s="520"/>
      <c r="L78" s="520"/>
      <c r="M78" s="520"/>
      <c r="N78" s="520"/>
      <c r="O78" s="696"/>
      <c r="P78" s="520"/>
      <c r="Q78" s="520"/>
      <c r="R78" s="501"/>
      <c r="S78" s="501"/>
      <c r="T78" s="502"/>
      <c r="U78" s="502"/>
      <c r="V78" s="502"/>
      <c r="W78" s="502"/>
    </row>
    <row r="79" spans="1:23">
      <c r="A79" s="692"/>
      <c r="B79" s="519"/>
      <c r="C79" s="520"/>
      <c r="D79" s="520"/>
      <c r="E79" s="520"/>
      <c r="F79" s="520"/>
      <c r="G79" s="520"/>
      <c r="H79" s="520"/>
      <c r="I79" s="498"/>
      <c r="J79" s="520"/>
      <c r="K79" s="520"/>
      <c r="L79" s="520"/>
      <c r="M79" s="520"/>
      <c r="N79" s="520"/>
      <c r="O79" s="696"/>
      <c r="P79" s="520"/>
      <c r="Q79" s="520"/>
      <c r="R79" s="501"/>
      <c r="S79" s="501"/>
      <c r="T79" s="502"/>
      <c r="U79" s="502"/>
      <c r="V79" s="502"/>
      <c r="W79" s="502"/>
    </row>
    <row r="80" spans="1:23">
      <c r="A80" s="692"/>
      <c r="B80" s="519"/>
      <c r="C80" s="520"/>
      <c r="D80" s="520"/>
      <c r="E80" s="520"/>
      <c r="F80" s="520"/>
      <c r="G80" s="520"/>
      <c r="H80" s="520"/>
      <c r="I80" s="498"/>
      <c r="J80" s="520"/>
      <c r="K80" s="520"/>
      <c r="L80" s="520"/>
      <c r="M80" s="520"/>
      <c r="N80" s="520"/>
      <c r="O80" s="696"/>
      <c r="P80" s="520"/>
      <c r="Q80" s="520"/>
      <c r="R80" s="501"/>
      <c r="S80" s="501"/>
      <c r="T80" s="502"/>
      <c r="U80" s="502"/>
      <c r="V80" s="502"/>
      <c r="W80" s="502"/>
    </row>
    <row r="81" spans="1:23">
      <c r="A81" s="692"/>
      <c r="B81" s="519"/>
      <c r="C81" s="520"/>
      <c r="D81" s="520"/>
      <c r="E81" s="520"/>
      <c r="F81" s="520"/>
      <c r="G81" s="520"/>
      <c r="H81" s="520"/>
      <c r="I81" s="498"/>
      <c r="J81" s="520"/>
      <c r="K81" s="520"/>
      <c r="L81" s="520"/>
      <c r="M81" s="520"/>
      <c r="N81" s="520"/>
      <c r="O81" s="696"/>
      <c r="P81" s="520"/>
      <c r="Q81" s="520"/>
      <c r="R81" s="501"/>
      <c r="S81" s="501"/>
      <c r="T81" s="502"/>
      <c r="U81" s="502"/>
      <c r="V81" s="502"/>
      <c r="W81" s="502"/>
    </row>
    <row r="82" spans="1:23">
      <c r="A82" s="692"/>
      <c r="B82" s="519"/>
      <c r="C82" s="520"/>
      <c r="D82" s="520"/>
      <c r="E82" s="520"/>
      <c r="F82" s="520"/>
      <c r="G82" s="520"/>
      <c r="H82" s="520"/>
      <c r="I82" s="498"/>
      <c r="J82" s="520"/>
      <c r="K82" s="520"/>
      <c r="L82" s="520"/>
      <c r="M82" s="520"/>
      <c r="N82" s="520"/>
      <c r="O82" s="696"/>
      <c r="P82" s="520"/>
      <c r="Q82" s="520"/>
      <c r="R82" s="501"/>
      <c r="S82" s="501"/>
      <c r="T82" s="502"/>
      <c r="U82" s="502"/>
      <c r="V82" s="502"/>
      <c r="W82" s="502"/>
    </row>
    <row r="83" spans="1:23">
      <c r="A83" s="692"/>
      <c r="B83" s="519"/>
      <c r="C83" s="520"/>
      <c r="D83" s="520"/>
      <c r="E83" s="520"/>
      <c r="F83" s="520"/>
      <c r="G83" s="520"/>
      <c r="H83" s="520"/>
      <c r="I83" s="498"/>
      <c r="J83" s="520"/>
      <c r="K83" s="520"/>
      <c r="L83" s="520"/>
      <c r="M83" s="520"/>
      <c r="N83" s="520"/>
      <c r="O83" s="696"/>
      <c r="P83" s="520"/>
      <c r="Q83" s="520"/>
      <c r="R83" s="501"/>
      <c r="S83" s="501"/>
      <c r="T83" s="502"/>
      <c r="U83" s="502"/>
      <c r="V83" s="502"/>
      <c r="W83" s="502"/>
    </row>
    <row r="84" spans="1:23">
      <c r="A84" s="692"/>
      <c r="B84" s="519"/>
      <c r="C84" s="520"/>
      <c r="D84" s="520"/>
      <c r="E84" s="520"/>
      <c r="F84" s="520"/>
      <c r="G84" s="520"/>
      <c r="H84" s="520"/>
      <c r="I84" s="498"/>
      <c r="J84" s="520"/>
      <c r="K84" s="520"/>
      <c r="L84" s="520"/>
      <c r="M84" s="520"/>
      <c r="N84" s="520"/>
      <c r="O84" s="696"/>
      <c r="P84" s="520"/>
      <c r="Q84" s="520"/>
      <c r="R84" s="501"/>
      <c r="S84" s="501"/>
      <c r="T84" s="502"/>
      <c r="U84" s="502"/>
      <c r="V84" s="502"/>
      <c r="W84" s="502"/>
    </row>
    <row r="85" spans="1:23">
      <c r="A85" s="692"/>
      <c r="B85" s="519"/>
      <c r="C85" s="520"/>
      <c r="D85" s="520"/>
      <c r="E85" s="520"/>
      <c r="F85" s="520"/>
      <c r="G85" s="520"/>
      <c r="H85" s="520"/>
      <c r="I85" s="498"/>
      <c r="J85" s="520"/>
      <c r="K85" s="520"/>
      <c r="L85" s="520"/>
      <c r="M85" s="520"/>
      <c r="N85" s="520"/>
      <c r="O85" s="696"/>
      <c r="P85" s="520"/>
      <c r="Q85" s="520"/>
      <c r="R85" s="501"/>
      <c r="S85" s="501"/>
      <c r="T85" s="502"/>
      <c r="U85" s="502"/>
      <c r="V85" s="502"/>
      <c r="W85" s="502"/>
    </row>
    <row r="86" spans="1:23">
      <c r="A86" s="692"/>
      <c r="B86" s="519"/>
      <c r="C86" s="520"/>
      <c r="D86" s="520"/>
      <c r="E86" s="520"/>
      <c r="F86" s="520"/>
      <c r="G86" s="520"/>
      <c r="H86" s="520"/>
      <c r="I86" s="498"/>
      <c r="J86" s="520"/>
      <c r="K86" s="520"/>
      <c r="L86" s="520"/>
      <c r="M86" s="520"/>
      <c r="N86" s="520"/>
      <c r="O86" s="696"/>
      <c r="P86" s="520"/>
      <c r="Q86" s="520"/>
      <c r="R86" s="501"/>
      <c r="S86" s="501"/>
      <c r="T86" s="502"/>
      <c r="U86" s="502"/>
      <c r="V86" s="502"/>
      <c r="W86" s="502"/>
    </row>
    <row r="87" spans="1:23">
      <c r="A87" s="692"/>
      <c r="B87" s="519"/>
      <c r="C87" s="520"/>
      <c r="D87" s="520"/>
      <c r="E87" s="520"/>
      <c r="F87" s="520"/>
      <c r="G87" s="520"/>
      <c r="H87" s="520"/>
      <c r="I87" s="498"/>
      <c r="J87" s="520"/>
      <c r="K87" s="520"/>
      <c r="L87" s="520"/>
      <c r="M87" s="520"/>
      <c r="N87" s="520"/>
      <c r="O87" s="696"/>
      <c r="P87" s="520"/>
      <c r="Q87" s="520"/>
      <c r="R87" s="501"/>
      <c r="S87" s="501"/>
      <c r="T87" s="502"/>
      <c r="U87" s="502"/>
      <c r="V87" s="502"/>
      <c r="W87" s="502"/>
    </row>
    <row r="88" spans="1:23">
      <c r="A88" s="692"/>
      <c r="B88" s="519"/>
      <c r="C88" s="520"/>
      <c r="D88" s="520"/>
      <c r="E88" s="520"/>
      <c r="F88" s="520"/>
      <c r="G88" s="520"/>
      <c r="H88" s="520"/>
      <c r="I88" s="498"/>
      <c r="J88" s="520"/>
      <c r="K88" s="520"/>
      <c r="L88" s="520"/>
      <c r="M88" s="520"/>
      <c r="N88" s="520"/>
      <c r="O88" s="696"/>
      <c r="P88" s="520"/>
      <c r="Q88" s="520"/>
      <c r="R88" s="501"/>
      <c r="S88" s="501"/>
      <c r="T88" s="502"/>
      <c r="U88" s="502"/>
      <c r="V88" s="502"/>
      <c r="W88" s="502"/>
    </row>
    <row r="89" spans="1:23">
      <c r="A89" s="692"/>
      <c r="B89" s="519"/>
      <c r="C89" s="520"/>
      <c r="D89" s="520"/>
      <c r="E89" s="520"/>
      <c r="F89" s="520"/>
      <c r="G89" s="520"/>
      <c r="H89" s="520"/>
      <c r="I89" s="498"/>
      <c r="J89" s="520"/>
      <c r="K89" s="520"/>
      <c r="L89" s="520"/>
      <c r="M89" s="520"/>
      <c r="N89" s="520"/>
      <c r="O89" s="696"/>
      <c r="P89" s="520"/>
      <c r="Q89" s="520"/>
      <c r="R89" s="501"/>
      <c r="S89" s="501"/>
      <c r="T89" s="502"/>
      <c r="U89" s="502"/>
      <c r="V89" s="502"/>
      <c r="W89" s="502"/>
    </row>
    <row r="90" spans="1:23">
      <c r="A90" s="692"/>
      <c r="B90" s="519"/>
      <c r="C90" s="520"/>
      <c r="D90" s="520"/>
      <c r="E90" s="520"/>
      <c r="F90" s="520"/>
      <c r="G90" s="520"/>
      <c r="H90" s="520"/>
      <c r="I90" s="498"/>
      <c r="J90" s="520"/>
      <c r="K90" s="520"/>
      <c r="L90" s="520"/>
      <c r="M90" s="520"/>
      <c r="N90" s="520"/>
      <c r="O90" s="696"/>
      <c r="P90" s="520"/>
      <c r="Q90" s="520"/>
      <c r="R90" s="501"/>
      <c r="S90" s="501"/>
      <c r="T90" s="502"/>
      <c r="U90" s="502"/>
      <c r="V90" s="502"/>
      <c r="W90" s="502"/>
    </row>
    <row r="91" spans="1:23">
      <c r="A91" s="693"/>
      <c r="B91" s="524"/>
      <c r="C91" s="525"/>
      <c r="D91" s="525"/>
      <c r="E91" s="525"/>
      <c r="F91" s="525"/>
      <c r="G91" s="525"/>
      <c r="H91" s="525"/>
      <c r="I91" s="526"/>
      <c r="J91" s="525"/>
      <c r="K91" s="525"/>
      <c r="L91" s="525"/>
      <c r="M91" s="525"/>
      <c r="N91" s="525"/>
      <c r="O91" s="697"/>
      <c r="P91" s="525"/>
      <c r="Q91" s="525"/>
      <c r="R91" s="502"/>
      <c r="S91" s="502"/>
      <c r="T91" s="502"/>
      <c r="U91" s="502"/>
      <c r="V91" s="502"/>
      <c r="W91" s="502"/>
    </row>
  </sheetData>
  <mergeCells count="29">
    <mergeCell ref="A5:R5"/>
    <mergeCell ref="A1:C1"/>
    <mergeCell ref="J1:O1"/>
    <mergeCell ref="A2:C2"/>
    <mergeCell ref="J2:O2"/>
    <mergeCell ref="A3:R3"/>
    <mergeCell ref="A4:R4"/>
    <mergeCell ref="A7:A8"/>
    <mergeCell ref="B7:B8"/>
    <mergeCell ref="C7:C8"/>
    <mergeCell ref="E7:E8"/>
    <mergeCell ref="F7:F8"/>
    <mergeCell ref="D7:D8"/>
    <mergeCell ref="N66:Q66"/>
    <mergeCell ref="B62:L62"/>
    <mergeCell ref="Q7:Q8"/>
    <mergeCell ref="R7:R8"/>
    <mergeCell ref="B60:L60"/>
    <mergeCell ref="B61:L61"/>
    <mergeCell ref="I7:I8"/>
    <mergeCell ref="J7:L7"/>
    <mergeCell ref="M7:M8"/>
    <mergeCell ref="N7:N8"/>
    <mergeCell ref="O7:O8"/>
    <mergeCell ref="P7:P8"/>
    <mergeCell ref="H7:H8"/>
    <mergeCell ref="G7:G8"/>
    <mergeCell ref="N60:Q60"/>
    <mergeCell ref="N61:Q61"/>
  </mergeCells>
  <pageMargins left="0.23" right="0.17" top="0.24" bottom="0.27" header="0.3" footer="0.3"/>
  <pageSetup paperSize="9" scale="68"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V112"/>
  <sheetViews>
    <sheetView topLeftCell="A58" workbookViewId="0">
      <selection activeCell="N39" sqref="N39"/>
    </sheetView>
  </sheetViews>
  <sheetFormatPr defaultColWidth="8.6640625" defaultRowHeight="14"/>
  <cols>
    <col min="1" max="1" width="4.6640625" style="950" customWidth="1"/>
    <col min="2" max="2" width="37.9140625" style="950" customWidth="1"/>
    <col min="3" max="3" width="8.4140625" style="951" customWidth="1"/>
    <col min="4" max="4" width="9.33203125" style="1277" customWidth="1"/>
    <col min="5" max="5" width="7.9140625" style="951" customWidth="1"/>
    <col min="6" max="6" width="6.58203125" style="951" customWidth="1"/>
    <col min="7" max="7" width="6.9140625" style="951" customWidth="1"/>
    <col min="8" max="8" width="12" style="951" customWidth="1"/>
    <col min="9" max="9" width="8.58203125" style="951" customWidth="1"/>
    <col min="10" max="10" width="9" style="951" customWidth="1"/>
    <col min="11" max="11" width="6.6640625" style="951" customWidth="1"/>
    <col min="12" max="12" width="8.33203125" style="951" customWidth="1"/>
    <col min="13" max="13" width="7.6640625" style="951" customWidth="1"/>
    <col min="14" max="14" width="6.6640625" style="951" customWidth="1"/>
    <col min="15" max="15" width="8.6640625" style="951" customWidth="1"/>
    <col min="16" max="16" width="5.6640625" style="951" customWidth="1"/>
    <col min="17" max="17" width="9" style="951" customWidth="1"/>
    <col min="18" max="18" width="8.58203125" style="869" customWidth="1"/>
    <col min="19" max="16384" width="8.6640625" style="869"/>
  </cols>
  <sheetData>
    <row r="1" spans="1:22" ht="14.25" customHeight="1">
      <c r="A1" s="1355" t="s">
        <v>808</v>
      </c>
      <c r="B1" s="1355"/>
      <c r="C1" s="1355"/>
      <c r="D1" s="1265"/>
      <c r="E1" s="675"/>
      <c r="F1" s="675"/>
      <c r="G1" s="675"/>
      <c r="H1" s="675"/>
      <c r="I1" s="520"/>
      <c r="J1" s="1338"/>
      <c r="K1" s="1338"/>
      <c r="L1" s="1338"/>
      <c r="M1" s="1338"/>
      <c r="N1" s="1338"/>
      <c r="O1" s="1338"/>
      <c r="P1" s="499"/>
      <c r="Q1" s="1353" t="s">
        <v>123</v>
      </c>
      <c r="R1" s="1353"/>
      <c r="S1" s="501"/>
      <c r="T1" s="501"/>
      <c r="U1" s="501"/>
      <c r="V1" s="501"/>
    </row>
    <row r="2" spans="1:22">
      <c r="A2" s="1339" t="s">
        <v>1367</v>
      </c>
      <c r="B2" s="1339"/>
      <c r="C2" s="1339"/>
      <c r="D2" s="1266"/>
      <c r="E2" s="676"/>
      <c r="F2" s="676"/>
      <c r="G2" s="676"/>
      <c r="H2" s="676"/>
      <c r="I2" s="520"/>
      <c r="J2" s="1338"/>
      <c r="K2" s="1338"/>
      <c r="L2" s="1338"/>
      <c r="M2" s="1338"/>
      <c r="N2" s="1338"/>
      <c r="O2" s="1338"/>
      <c r="P2" s="499"/>
      <c r="Q2" s="499"/>
      <c r="R2" s="499"/>
      <c r="S2" s="501"/>
      <c r="T2" s="501"/>
      <c r="U2" s="501"/>
      <c r="V2" s="501"/>
    </row>
    <row r="3" spans="1:22" ht="30" customHeight="1">
      <c r="A3" s="1340" t="s">
        <v>633</v>
      </c>
      <c r="B3" s="1340"/>
      <c r="C3" s="1340"/>
      <c r="D3" s="1340"/>
      <c r="E3" s="1340"/>
      <c r="F3" s="1340"/>
      <c r="G3" s="1340"/>
      <c r="H3" s="1340"/>
      <c r="I3" s="1340"/>
      <c r="J3" s="1340"/>
      <c r="K3" s="1340"/>
      <c r="L3" s="1340"/>
      <c r="M3" s="1340"/>
      <c r="N3" s="1340"/>
      <c r="O3" s="1340"/>
      <c r="P3" s="1340"/>
      <c r="Q3" s="1340"/>
      <c r="R3" s="1340"/>
      <c r="S3" s="501"/>
      <c r="T3" s="501"/>
      <c r="U3" s="501"/>
      <c r="V3" s="501"/>
    </row>
    <row r="4" spans="1:22" ht="30" customHeight="1">
      <c r="A4" s="1354" t="s">
        <v>634</v>
      </c>
      <c r="B4" s="1354"/>
      <c r="C4" s="1354"/>
      <c r="D4" s="1354"/>
      <c r="E4" s="1354"/>
      <c r="F4" s="1354"/>
      <c r="G4" s="1354"/>
      <c r="H4" s="1354"/>
      <c r="I4" s="1354"/>
      <c r="J4" s="1354"/>
      <c r="K4" s="1354"/>
      <c r="L4" s="1354"/>
      <c r="M4" s="1354"/>
      <c r="N4" s="1354"/>
      <c r="O4" s="1354"/>
      <c r="P4" s="1354"/>
      <c r="Q4" s="1354"/>
      <c r="R4" s="1354"/>
      <c r="S4" s="501"/>
      <c r="T4" s="501"/>
      <c r="U4" s="501"/>
      <c r="V4" s="501"/>
    </row>
    <row r="5" spans="1:22" ht="30" customHeight="1">
      <c r="A5" s="1342" t="s">
        <v>124</v>
      </c>
      <c r="B5" s="1342"/>
      <c r="C5" s="1342"/>
      <c r="D5" s="1342"/>
      <c r="E5" s="1342"/>
      <c r="F5" s="1342"/>
      <c r="G5" s="1342"/>
      <c r="H5" s="1342"/>
      <c r="I5" s="1342"/>
      <c r="J5" s="1342"/>
      <c r="K5" s="1342"/>
      <c r="L5" s="1342"/>
      <c r="M5" s="1342"/>
      <c r="N5" s="1342"/>
      <c r="O5" s="1342"/>
      <c r="P5" s="1342"/>
      <c r="Q5" s="1342"/>
      <c r="R5" s="1342"/>
      <c r="S5" s="501"/>
      <c r="T5" s="501"/>
      <c r="U5" s="501"/>
      <c r="V5" s="501"/>
    </row>
    <row r="6" spans="1:22" ht="14.5" thickBot="1">
      <c r="A6" s="504"/>
      <c r="B6" s="504"/>
      <c r="C6" s="504"/>
      <c r="D6" s="505"/>
      <c r="E6" s="504"/>
      <c r="F6" s="504"/>
      <c r="G6" s="504"/>
      <c r="H6" s="504"/>
      <c r="I6" s="504"/>
      <c r="J6" s="504"/>
      <c r="K6" s="504"/>
      <c r="L6" s="504"/>
      <c r="M6" s="504"/>
      <c r="N6" s="504"/>
      <c r="O6" s="504" t="s">
        <v>125</v>
      </c>
      <c r="P6" s="504"/>
      <c r="Q6" s="504"/>
      <c r="R6" s="506"/>
      <c r="S6" s="501"/>
      <c r="T6" s="501"/>
      <c r="U6" s="501"/>
      <c r="V6" s="501"/>
    </row>
    <row r="7" spans="1:22" s="872" customFormat="1" ht="122.25" customHeight="1">
      <c r="A7" s="1343" t="s">
        <v>5</v>
      </c>
      <c r="B7" s="1345" t="s">
        <v>126</v>
      </c>
      <c r="C7" s="1345" t="s">
        <v>127</v>
      </c>
      <c r="D7" s="1347" t="s">
        <v>635</v>
      </c>
      <c r="E7" s="1345" t="s">
        <v>128</v>
      </c>
      <c r="F7" s="1345" t="s">
        <v>515</v>
      </c>
      <c r="G7" s="1345" t="s">
        <v>516</v>
      </c>
      <c r="H7" s="1349" t="s">
        <v>339</v>
      </c>
      <c r="I7" s="1345" t="s">
        <v>742</v>
      </c>
      <c r="J7" s="1345" t="s">
        <v>130</v>
      </c>
      <c r="K7" s="1345"/>
      <c r="L7" s="1345"/>
      <c r="M7" s="1345" t="s">
        <v>131</v>
      </c>
      <c r="N7" s="1345" t="s">
        <v>132</v>
      </c>
      <c r="O7" s="1345" t="s">
        <v>133</v>
      </c>
      <c r="P7" s="1345" t="s">
        <v>134</v>
      </c>
      <c r="Q7" s="1345" t="s">
        <v>135</v>
      </c>
      <c r="R7" s="1351" t="s">
        <v>16</v>
      </c>
      <c r="S7" s="501"/>
      <c r="T7" s="501"/>
      <c r="U7" s="501"/>
      <c r="V7" s="501"/>
    </row>
    <row r="8" spans="1:22" s="872" customFormat="1" ht="108" customHeight="1">
      <c r="A8" s="1344"/>
      <c r="B8" s="1346"/>
      <c r="C8" s="1346"/>
      <c r="D8" s="1348"/>
      <c r="E8" s="1346"/>
      <c r="F8" s="1346"/>
      <c r="G8" s="1346"/>
      <c r="H8" s="1350"/>
      <c r="I8" s="1346"/>
      <c r="J8" s="1009" t="s">
        <v>136</v>
      </c>
      <c r="K8" s="1009" t="s">
        <v>137</v>
      </c>
      <c r="L8" s="1009" t="s">
        <v>138</v>
      </c>
      <c r="M8" s="1346"/>
      <c r="N8" s="1346"/>
      <c r="O8" s="1346"/>
      <c r="P8" s="1346"/>
      <c r="Q8" s="1346"/>
      <c r="R8" s="1352"/>
      <c r="S8" s="501"/>
      <c r="T8" s="501"/>
      <c r="U8" s="501"/>
      <c r="V8" s="501"/>
    </row>
    <row r="9" spans="1:22" s="878" customFormat="1" ht="54.75" customHeight="1">
      <c r="A9" s="874" t="s">
        <v>139</v>
      </c>
      <c r="B9" s="701" t="s">
        <v>140</v>
      </c>
      <c r="C9" s="701" t="s">
        <v>141</v>
      </c>
      <c r="D9" s="1267" t="s">
        <v>142</v>
      </c>
      <c r="E9" s="702" t="s">
        <v>143</v>
      </c>
      <c r="F9" s="702" t="s">
        <v>193</v>
      </c>
      <c r="G9" s="702" t="s">
        <v>144</v>
      </c>
      <c r="H9" s="1010" t="s">
        <v>741</v>
      </c>
      <c r="I9" s="1010" t="s">
        <v>246</v>
      </c>
      <c r="J9" s="702" t="s">
        <v>145</v>
      </c>
      <c r="K9" s="702" t="s">
        <v>146</v>
      </c>
      <c r="L9" s="702" t="s">
        <v>147</v>
      </c>
      <c r="M9" s="702" t="s">
        <v>148</v>
      </c>
      <c r="N9" s="702" t="s">
        <v>149</v>
      </c>
      <c r="O9" s="702" t="s">
        <v>150</v>
      </c>
      <c r="P9" s="702" t="s">
        <v>151</v>
      </c>
      <c r="Q9" s="702" t="s">
        <v>152</v>
      </c>
      <c r="R9" s="876" t="s">
        <v>1372</v>
      </c>
      <c r="S9" s="508"/>
      <c r="T9" s="508"/>
      <c r="U9" s="508"/>
      <c r="V9" s="508"/>
    </row>
    <row r="10" spans="1:22" s="872" customFormat="1" ht="17.25" customHeight="1">
      <c r="A10" s="882" t="s">
        <v>17</v>
      </c>
      <c r="B10" s="707" t="s">
        <v>877</v>
      </c>
      <c r="C10" s="1021">
        <f>C11+C53</f>
        <v>226</v>
      </c>
      <c r="D10" s="1268">
        <f t="shared" ref="D10:L10" si="0">D11+D53</f>
        <v>0</v>
      </c>
      <c r="E10" s="1021">
        <f t="shared" si="0"/>
        <v>515</v>
      </c>
      <c r="F10" s="1021">
        <f t="shared" si="0"/>
        <v>0</v>
      </c>
      <c r="G10" s="1021">
        <f t="shared" si="0"/>
        <v>0</v>
      </c>
      <c r="H10" s="1021">
        <f t="shared" si="0"/>
        <v>129006.9</v>
      </c>
      <c r="I10" s="1021">
        <f>I11+I53</f>
        <v>29602.65</v>
      </c>
      <c r="J10" s="1021">
        <f>J11+J53</f>
        <v>26031.15</v>
      </c>
      <c r="K10" s="1021">
        <f t="shared" si="0"/>
        <v>0</v>
      </c>
      <c r="L10" s="1021">
        <f t="shared" si="0"/>
        <v>3080</v>
      </c>
      <c r="M10" s="707">
        <v>4860</v>
      </c>
      <c r="N10" s="707">
        <v>3632</v>
      </c>
      <c r="O10" s="707">
        <f>J10-N10</f>
        <v>22399.15</v>
      </c>
      <c r="P10" s="893">
        <v>2791</v>
      </c>
      <c r="Q10" s="1022">
        <v>2968</v>
      </c>
      <c r="R10" s="960"/>
      <c r="S10" s="501"/>
      <c r="T10" s="501"/>
      <c r="U10" s="501"/>
      <c r="V10" s="501"/>
    </row>
    <row r="11" spans="1:22" s="872" customFormat="1" ht="27" customHeight="1">
      <c r="A11" s="882" t="s">
        <v>19</v>
      </c>
      <c r="B11" s="707" t="s">
        <v>153</v>
      </c>
      <c r="C11" s="706">
        <f>C12+C38</f>
        <v>133</v>
      </c>
      <c r="D11" s="1268"/>
      <c r="E11" s="706">
        <f>E12+E38</f>
        <v>75</v>
      </c>
      <c r="F11" s="1021"/>
      <c r="G11" s="706"/>
      <c r="H11" s="1021">
        <f>H12+H38</f>
        <v>12816.900000000001</v>
      </c>
      <c r="I11" s="1021">
        <f>I12+I38</f>
        <v>4654.6499999999996</v>
      </c>
      <c r="J11" s="1021">
        <f>J12+J38</f>
        <v>4654.6499999999996</v>
      </c>
      <c r="K11" s="1021">
        <f>K12+K38</f>
        <v>0</v>
      </c>
      <c r="L11" s="1021">
        <f>L12+L38</f>
        <v>0</v>
      </c>
      <c r="M11" s="707"/>
      <c r="N11" s="707"/>
      <c r="O11" s="707"/>
      <c r="P11" s="707"/>
      <c r="Q11" s="707"/>
      <c r="R11" s="960"/>
      <c r="S11" s="501"/>
      <c r="T11" s="501"/>
      <c r="U11" s="501"/>
      <c r="V11" s="501"/>
    </row>
    <row r="12" spans="1:22" s="872" customFormat="1" ht="17.25" customHeight="1">
      <c r="A12" s="882">
        <v>1</v>
      </c>
      <c r="B12" s="707" t="s">
        <v>20</v>
      </c>
      <c r="C12" s="1021">
        <f>C13+C26</f>
        <v>88</v>
      </c>
      <c r="D12" s="1268"/>
      <c r="E12" s="1021">
        <f t="shared" ref="E12:L12" si="1">E13+E26</f>
        <v>44</v>
      </c>
      <c r="F12" s="1021"/>
      <c r="G12" s="1021"/>
      <c r="H12" s="1021">
        <f t="shared" si="1"/>
        <v>9666.9000000000015</v>
      </c>
      <c r="I12" s="1021">
        <f t="shared" si="1"/>
        <v>2922.15</v>
      </c>
      <c r="J12" s="1021">
        <f>J13+J26</f>
        <v>2922.15</v>
      </c>
      <c r="K12" s="1021">
        <f t="shared" si="1"/>
        <v>0</v>
      </c>
      <c r="L12" s="1021">
        <f t="shared" si="1"/>
        <v>0</v>
      </c>
      <c r="M12" s="707"/>
      <c r="N12" s="707"/>
      <c r="O12" s="707"/>
      <c r="P12" s="707"/>
      <c r="Q12" s="707"/>
      <c r="R12" s="960"/>
      <c r="S12" s="501"/>
      <c r="T12" s="501"/>
      <c r="U12" s="501"/>
      <c r="V12" s="501"/>
    </row>
    <row r="13" spans="1:22" s="890" customFormat="1" ht="15.75" customHeight="1">
      <c r="A13" s="967">
        <v>1.1000000000000001</v>
      </c>
      <c r="B13" s="921" t="s">
        <v>1374</v>
      </c>
      <c r="C13" s="708">
        <f>SUM(C14:C25)</f>
        <v>45</v>
      </c>
      <c r="D13" s="1269"/>
      <c r="E13" s="708">
        <f t="shared" ref="E13:L13" si="2">SUM(E14:E25)</f>
        <v>18</v>
      </c>
      <c r="F13" s="708"/>
      <c r="G13" s="708"/>
      <c r="H13" s="708">
        <f t="shared" si="2"/>
        <v>4327</v>
      </c>
      <c r="I13" s="708">
        <f t="shared" si="2"/>
        <v>1164.9000000000001</v>
      </c>
      <c r="J13" s="708">
        <f>SUM(J14:J25)</f>
        <v>1164.9000000000001</v>
      </c>
      <c r="K13" s="708">
        <f t="shared" si="2"/>
        <v>0</v>
      </c>
      <c r="L13" s="708">
        <f t="shared" si="2"/>
        <v>0</v>
      </c>
      <c r="M13" s="975"/>
      <c r="N13" s="975"/>
      <c r="O13" s="975"/>
      <c r="P13" s="975"/>
      <c r="Q13" s="975"/>
      <c r="R13" s="976"/>
      <c r="S13" s="515"/>
      <c r="T13" s="515"/>
      <c r="U13" s="515"/>
      <c r="V13" s="515"/>
    </row>
    <row r="14" spans="1:22" s="890" customFormat="1" ht="13">
      <c r="A14" s="901" t="s">
        <v>155</v>
      </c>
      <c r="B14" s="918" t="s">
        <v>881</v>
      </c>
      <c r="C14" s="712">
        <v>5</v>
      </c>
      <c r="D14" s="1270">
        <v>1</v>
      </c>
      <c r="E14" s="712">
        <v>2</v>
      </c>
      <c r="F14" s="978">
        <v>1</v>
      </c>
      <c r="G14" s="712">
        <v>84</v>
      </c>
      <c r="H14" s="978">
        <f>C14*D14*G14</f>
        <v>420</v>
      </c>
      <c r="I14" s="966">
        <f>C14*E14*F14*16.5</f>
        <v>165</v>
      </c>
      <c r="J14" s="1014">
        <f>I14</f>
        <v>165</v>
      </c>
      <c r="K14" s="1014">
        <v>0</v>
      </c>
      <c r="L14" s="1014">
        <v>0</v>
      </c>
      <c r="M14" s="975"/>
      <c r="N14" s="975"/>
      <c r="O14" s="975"/>
      <c r="P14" s="975"/>
      <c r="Q14" s="975"/>
      <c r="R14" s="976"/>
      <c r="S14" s="515"/>
      <c r="T14" s="515"/>
      <c r="U14" s="515"/>
      <c r="V14" s="515"/>
    </row>
    <row r="15" spans="1:22" s="890" customFormat="1" ht="15.75" customHeight="1">
      <c r="A15" s="901" t="s">
        <v>156</v>
      </c>
      <c r="B15" s="918" t="s">
        <v>883</v>
      </c>
      <c r="C15" s="712">
        <v>4</v>
      </c>
      <c r="D15" s="1270">
        <v>1</v>
      </c>
      <c r="E15" s="712">
        <v>1</v>
      </c>
      <c r="F15" s="978">
        <v>1</v>
      </c>
      <c r="G15" s="712">
        <v>69</v>
      </c>
      <c r="H15" s="978">
        <f t="shared" ref="H15:H37" si="3">C15*D15*G15</f>
        <v>276</v>
      </c>
      <c r="I15" s="966">
        <f t="shared" ref="I15:I37" si="4">C15*E15*F15*16.5</f>
        <v>66</v>
      </c>
      <c r="J15" s="1014">
        <f t="shared" ref="J15:J24" si="5">I15</f>
        <v>66</v>
      </c>
      <c r="K15" s="1014">
        <v>0</v>
      </c>
      <c r="L15" s="1014">
        <v>0</v>
      </c>
      <c r="M15" s="975"/>
      <c r="N15" s="975"/>
      <c r="O15" s="975"/>
      <c r="P15" s="975"/>
      <c r="Q15" s="975"/>
      <c r="R15" s="976"/>
      <c r="S15" s="515"/>
      <c r="T15" s="515"/>
      <c r="U15" s="515"/>
      <c r="V15" s="515"/>
    </row>
    <row r="16" spans="1:22" s="890" customFormat="1" ht="15.75" customHeight="1">
      <c r="A16" s="901" t="s">
        <v>157</v>
      </c>
      <c r="B16" s="918" t="s">
        <v>884</v>
      </c>
      <c r="C16" s="712">
        <v>3</v>
      </c>
      <c r="D16" s="1270">
        <v>1</v>
      </c>
      <c r="E16" s="712">
        <v>2</v>
      </c>
      <c r="F16" s="978">
        <v>1</v>
      </c>
      <c r="G16" s="712">
        <v>77</v>
      </c>
      <c r="H16" s="978">
        <f t="shared" si="3"/>
        <v>231</v>
      </c>
      <c r="I16" s="966">
        <f t="shared" si="4"/>
        <v>99</v>
      </c>
      <c r="J16" s="1014">
        <f t="shared" si="5"/>
        <v>99</v>
      </c>
      <c r="K16" s="1014">
        <v>0</v>
      </c>
      <c r="L16" s="1014">
        <v>0</v>
      </c>
      <c r="M16" s="975"/>
      <c r="N16" s="975"/>
      <c r="O16" s="975"/>
      <c r="P16" s="975"/>
      <c r="Q16" s="975"/>
      <c r="R16" s="976"/>
      <c r="S16" s="515"/>
      <c r="T16" s="515"/>
      <c r="U16" s="515"/>
      <c r="V16" s="515"/>
    </row>
    <row r="17" spans="1:22" s="890" customFormat="1" ht="15.75" customHeight="1">
      <c r="A17" s="901" t="s">
        <v>158</v>
      </c>
      <c r="B17" s="918" t="s">
        <v>888</v>
      </c>
      <c r="C17" s="712">
        <v>4</v>
      </c>
      <c r="D17" s="1270">
        <v>1.3</v>
      </c>
      <c r="E17" s="712">
        <v>1</v>
      </c>
      <c r="F17" s="978">
        <v>1</v>
      </c>
      <c r="G17" s="712">
        <v>62</v>
      </c>
      <c r="H17" s="978">
        <f t="shared" si="3"/>
        <v>322.40000000000003</v>
      </c>
      <c r="I17" s="966">
        <f t="shared" si="4"/>
        <v>66</v>
      </c>
      <c r="J17" s="1014">
        <f t="shared" si="5"/>
        <v>66</v>
      </c>
      <c r="K17" s="1014">
        <v>0</v>
      </c>
      <c r="L17" s="1014">
        <v>0</v>
      </c>
      <c r="M17" s="964"/>
      <c r="N17" s="964"/>
      <c r="O17" s="964"/>
      <c r="P17" s="964"/>
      <c r="Q17" s="964"/>
      <c r="R17" s="965"/>
      <c r="S17" s="515"/>
      <c r="T17" s="515"/>
      <c r="U17" s="515"/>
      <c r="V17" s="515"/>
    </row>
    <row r="18" spans="1:22" s="890" customFormat="1" ht="15.75" customHeight="1">
      <c r="A18" s="901" t="s">
        <v>159</v>
      </c>
      <c r="B18" s="918" t="s">
        <v>889</v>
      </c>
      <c r="C18" s="712">
        <v>3</v>
      </c>
      <c r="D18" s="1270">
        <v>1.3</v>
      </c>
      <c r="E18" s="712">
        <v>2</v>
      </c>
      <c r="F18" s="978">
        <v>1</v>
      </c>
      <c r="G18" s="712">
        <v>77</v>
      </c>
      <c r="H18" s="978">
        <f>C18*D18*G18</f>
        <v>300.3</v>
      </c>
      <c r="I18" s="966">
        <f>C18*E18*F18*16.5</f>
        <v>99</v>
      </c>
      <c r="J18" s="1014">
        <f t="shared" si="5"/>
        <v>99</v>
      </c>
      <c r="K18" s="1014">
        <v>0</v>
      </c>
      <c r="L18" s="1014">
        <v>0</v>
      </c>
      <c r="M18" s="964"/>
      <c r="N18" s="964"/>
      <c r="O18" s="964"/>
      <c r="P18" s="964"/>
      <c r="Q18" s="964"/>
      <c r="R18" s="965"/>
      <c r="S18" s="515"/>
      <c r="T18" s="515"/>
      <c r="U18" s="515"/>
      <c r="V18" s="515"/>
    </row>
    <row r="19" spans="1:22" s="890" customFormat="1" ht="15.75" customHeight="1">
      <c r="A19" s="901" t="s">
        <v>160</v>
      </c>
      <c r="B19" s="918" t="s">
        <v>893</v>
      </c>
      <c r="C19" s="712">
        <v>4</v>
      </c>
      <c r="D19" s="1270">
        <v>1.3</v>
      </c>
      <c r="E19" s="712">
        <v>2</v>
      </c>
      <c r="F19" s="978">
        <v>1.3</v>
      </c>
      <c r="G19" s="712">
        <v>146</v>
      </c>
      <c r="H19" s="978">
        <f>C19*D19*G19</f>
        <v>759.2</v>
      </c>
      <c r="I19" s="966">
        <f>C19*E19*F19*16.5</f>
        <v>171.6</v>
      </c>
      <c r="J19" s="1014">
        <f t="shared" si="5"/>
        <v>171.6</v>
      </c>
      <c r="K19" s="1014">
        <v>0</v>
      </c>
      <c r="L19" s="1014">
        <v>0</v>
      </c>
      <c r="M19" s="964"/>
      <c r="N19" s="964"/>
      <c r="O19" s="964"/>
      <c r="P19" s="964"/>
      <c r="Q19" s="964"/>
      <c r="R19" s="965"/>
      <c r="S19" s="515"/>
      <c r="T19" s="515"/>
      <c r="U19" s="515"/>
      <c r="V19" s="515"/>
    </row>
    <row r="20" spans="1:22" s="890" customFormat="1" ht="15.75" customHeight="1">
      <c r="A20" s="901" t="s">
        <v>749</v>
      </c>
      <c r="B20" s="918" t="s">
        <v>894</v>
      </c>
      <c r="C20" s="712">
        <v>2</v>
      </c>
      <c r="D20" s="1270">
        <v>1.3</v>
      </c>
      <c r="E20" s="712">
        <v>2</v>
      </c>
      <c r="F20" s="978">
        <v>1.3</v>
      </c>
      <c r="G20" s="712">
        <v>146</v>
      </c>
      <c r="H20" s="978">
        <f t="shared" ref="H20" si="6">C20*D20*G20</f>
        <v>379.6</v>
      </c>
      <c r="I20" s="966">
        <f t="shared" ref="I20" si="7">C20*E20*F20*16.5</f>
        <v>85.8</v>
      </c>
      <c r="J20" s="1014">
        <f t="shared" si="5"/>
        <v>85.8</v>
      </c>
      <c r="K20" s="1014">
        <v>0</v>
      </c>
      <c r="L20" s="1014">
        <v>0</v>
      </c>
      <c r="M20" s="964"/>
      <c r="N20" s="964"/>
      <c r="O20" s="964"/>
      <c r="P20" s="964"/>
      <c r="Q20" s="964"/>
      <c r="R20" s="965"/>
      <c r="S20" s="515"/>
      <c r="T20" s="515"/>
      <c r="U20" s="515"/>
      <c r="V20" s="515"/>
    </row>
    <row r="21" spans="1:22" s="890" customFormat="1" ht="15.75" customHeight="1">
      <c r="A21" s="901" t="s">
        <v>750</v>
      </c>
      <c r="B21" s="918" t="s">
        <v>896</v>
      </c>
      <c r="C21" s="712">
        <v>3</v>
      </c>
      <c r="D21" s="1278">
        <v>1.5</v>
      </c>
      <c r="E21" s="712">
        <v>1</v>
      </c>
      <c r="F21" s="978">
        <v>1</v>
      </c>
      <c r="G21" s="712">
        <v>45</v>
      </c>
      <c r="H21" s="978">
        <f>C21*D21*G21</f>
        <v>202.5</v>
      </c>
      <c r="I21" s="966">
        <f>C21*E21*F21*16.5</f>
        <v>49.5</v>
      </c>
      <c r="J21" s="1014">
        <f t="shared" si="5"/>
        <v>49.5</v>
      </c>
      <c r="K21" s="1014">
        <v>0</v>
      </c>
      <c r="L21" s="1014">
        <v>0</v>
      </c>
      <c r="M21" s="964"/>
      <c r="N21" s="964"/>
      <c r="O21" s="964"/>
      <c r="P21" s="964"/>
      <c r="Q21" s="964"/>
      <c r="R21" s="965"/>
      <c r="S21" s="515"/>
      <c r="T21" s="515"/>
      <c r="U21" s="515"/>
      <c r="V21" s="515"/>
    </row>
    <row r="22" spans="1:22" s="890" customFormat="1" ht="15.75" customHeight="1">
      <c r="A22" s="901" t="s">
        <v>752</v>
      </c>
      <c r="B22" s="918" t="s">
        <v>897</v>
      </c>
      <c r="C22" s="712">
        <v>4</v>
      </c>
      <c r="D22" s="1278">
        <v>1.5</v>
      </c>
      <c r="E22" s="712">
        <v>1</v>
      </c>
      <c r="F22" s="978">
        <v>1</v>
      </c>
      <c r="G22" s="712">
        <v>45</v>
      </c>
      <c r="H22" s="978">
        <f>C22*D22*G22</f>
        <v>270</v>
      </c>
      <c r="I22" s="966">
        <f>C22*E22*F22*16.5</f>
        <v>66</v>
      </c>
      <c r="J22" s="1014">
        <f t="shared" si="5"/>
        <v>66</v>
      </c>
      <c r="K22" s="1014">
        <v>0</v>
      </c>
      <c r="L22" s="1014">
        <v>0</v>
      </c>
      <c r="M22" s="964"/>
      <c r="N22" s="964"/>
      <c r="O22" s="964"/>
      <c r="P22" s="964"/>
      <c r="Q22" s="964"/>
      <c r="R22" s="965"/>
      <c r="S22" s="515"/>
      <c r="T22" s="515"/>
      <c r="U22" s="515"/>
      <c r="V22" s="515"/>
    </row>
    <row r="23" spans="1:22" s="890" customFormat="1" ht="15.75" customHeight="1">
      <c r="A23" s="901" t="s">
        <v>753</v>
      </c>
      <c r="B23" s="918" t="s">
        <v>898</v>
      </c>
      <c r="C23" s="712">
        <v>5</v>
      </c>
      <c r="D23" s="1278">
        <v>1.5</v>
      </c>
      <c r="E23" s="712">
        <v>1</v>
      </c>
      <c r="F23" s="978">
        <v>1</v>
      </c>
      <c r="G23" s="712">
        <v>37</v>
      </c>
      <c r="H23" s="978">
        <f>C23*D23*G23</f>
        <v>277.5</v>
      </c>
      <c r="I23" s="966">
        <f>C23*E23*F23*16.5</f>
        <v>82.5</v>
      </c>
      <c r="J23" s="1014">
        <f t="shared" si="5"/>
        <v>82.5</v>
      </c>
      <c r="K23" s="1014">
        <v>0</v>
      </c>
      <c r="L23" s="1014">
        <v>0</v>
      </c>
      <c r="M23" s="964"/>
      <c r="N23" s="964"/>
      <c r="O23" s="964"/>
      <c r="P23" s="964"/>
      <c r="Q23" s="964"/>
      <c r="R23" s="965"/>
      <c r="S23" s="515"/>
      <c r="T23" s="515"/>
      <c r="U23" s="515"/>
      <c r="V23" s="515"/>
    </row>
    <row r="24" spans="1:22" s="890" customFormat="1" ht="15.75" customHeight="1">
      <c r="A24" s="901" t="s">
        <v>755</v>
      </c>
      <c r="B24" s="918" t="s">
        <v>899</v>
      </c>
      <c r="C24" s="712">
        <v>3</v>
      </c>
      <c r="D24" s="1278">
        <v>1.5</v>
      </c>
      <c r="E24" s="712">
        <v>1</v>
      </c>
      <c r="F24" s="978">
        <v>1</v>
      </c>
      <c r="G24" s="712">
        <v>45</v>
      </c>
      <c r="H24" s="978">
        <f>C24*D24*G24</f>
        <v>202.5</v>
      </c>
      <c r="I24" s="966">
        <f>C24*E24*F24*16.5</f>
        <v>49.5</v>
      </c>
      <c r="J24" s="1014">
        <f t="shared" si="5"/>
        <v>49.5</v>
      </c>
      <c r="K24" s="1014">
        <v>0</v>
      </c>
      <c r="L24" s="1014">
        <v>0</v>
      </c>
      <c r="M24" s="964"/>
      <c r="N24" s="964"/>
      <c r="O24" s="964"/>
      <c r="P24" s="964"/>
      <c r="Q24" s="964"/>
      <c r="R24" s="965"/>
      <c r="S24" s="515"/>
      <c r="T24" s="515"/>
      <c r="U24" s="515"/>
      <c r="V24" s="515"/>
    </row>
    <row r="25" spans="1:22" s="890" customFormat="1" ht="15.75" customHeight="1">
      <c r="A25" s="908" t="s">
        <v>757</v>
      </c>
      <c r="B25" s="902" t="s">
        <v>167</v>
      </c>
      <c r="C25" s="712">
        <v>5</v>
      </c>
      <c r="D25" s="1270">
        <v>1.4</v>
      </c>
      <c r="E25" s="712">
        <v>2</v>
      </c>
      <c r="F25" s="978">
        <v>1</v>
      </c>
      <c r="G25" s="712">
        <v>98</v>
      </c>
      <c r="H25" s="978">
        <f>C25*D25*G25</f>
        <v>686</v>
      </c>
      <c r="I25" s="966">
        <f>C25*E25*F25*16.5</f>
        <v>165</v>
      </c>
      <c r="J25" s="1014">
        <f t="shared" ref="J25" si="8">I25</f>
        <v>165</v>
      </c>
      <c r="K25" s="1014">
        <v>0</v>
      </c>
      <c r="L25" s="1014">
        <v>0</v>
      </c>
      <c r="M25" s="964"/>
      <c r="N25" s="964"/>
      <c r="O25" s="964"/>
      <c r="P25" s="964"/>
      <c r="Q25" s="964"/>
      <c r="R25" s="965"/>
      <c r="S25" s="515"/>
      <c r="T25" s="515"/>
      <c r="U25" s="515"/>
      <c r="V25" s="515"/>
    </row>
    <row r="26" spans="1:22" s="890" customFormat="1" ht="15.75" customHeight="1">
      <c r="A26" s="980">
        <v>1.2</v>
      </c>
      <c r="B26" s="918" t="s">
        <v>1375</v>
      </c>
      <c r="C26" s="718">
        <f>SUM(C27:C37)</f>
        <v>43</v>
      </c>
      <c r="D26" s="1270"/>
      <c r="E26" s="718">
        <f>SUM(E27:E37)</f>
        <v>26</v>
      </c>
      <c r="F26" s="978"/>
      <c r="G26" s="718"/>
      <c r="H26" s="979">
        <f>SUM(H27:H37)</f>
        <v>5339.9000000000005</v>
      </c>
      <c r="I26" s="979">
        <f t="shared" ref="I26:K26" si="9">SUM(I27:I37)</f>
        <v>1757.25</v>
      </c>
      <c r="J26" s="979">
        <f>SUM(J27:J37)</f>
        <v>1757.25</v>
      </c>
      <c r="K26" s="979">
        <f t="shared" si="9"/>
        <v>0</v>
      </c>
      <c r="L26" s="1094">
        <v>0</v>
      </c>
      <c r="M26" s="964"/>
      <c r="N26" s="964"/>
      <c r="O26" s="964"/>
      <c r="P26" s="964"/>
      <c r="Q26" s="964"/>
      <c r="R26" s="965"/>
      <c r="S26" s="515"/>
      <c r="T26" s="515"/>
      <c r="U26" s="515"/>
      <c r="V26" s="515"/>
    </row>
    <row r="27" spans="1:22" s="890" customFormat="1" ht="15.75" customHeight="1">
      <c r="A27" s="901" t="s">
        <v>155</v>
      </c>
      <c r="B27" s="918" t="s">
        <v>881</v>
      </c>
      <c r="C27" s="712">
        <v>5</v>
      </c>
      <c r="D27" s="1270">
        <v>1</v>
      </c>
      <c r="E27" s="712">
        <v>2</v>
      </c>
      <c r="F27" s="978">
        <v>1</v>
      </c>
      <c r="G27" s="712">
        <v>62</v>
      </c>
      <c r="H27" s="978">
        <f>C27*D27*G27</f>
        <v>310</v>
      </c>
      <c r="I27" s="966">
        <f>C27*E27*F27*16.5</f>
        <v>165</v>
      </c>
      <c r="J27" s="1014">
        <f t="shared" ref="J27:J37" si="10">I27</f>
        <v>165</v>
      </c>
      <c r="K27" s="1014">
        <v>0</v>
      </c>
      <c r="L27" s="1014">
        <v>0</v>
      </c>
      <c r="M27" s="964"/>
      <c r="N27" s="964"/>
      <c r="O27" s="964"/>
      <c r="P27" s="964"/>
      <c r="Q27" s="964"/>
      <c r="R27" s="965"/>
      <c r="S27" s="515"/>
      <c r="T27" s="515"/>
      <c r="U27" s="515"/>
      <c r="V27" s="515"/>
    </row>
    <row r="28" spans="1:22" s="890" customFormat="1" ht="15.75" customHeight="1">
      <c r="A28" s="901" t="s">
        <v>156</v>
      </c>
      <c r="B28" s="918" t="s">
        <v>882</v>
      </c>
      <c r="C28" s="713">
        <v>5</v>
      </c>
      <c r="D28" s="1271">
        <v>1</v>
      </c>
      <c r="E28" s="713">
        <v>2</v>
      </c>
      <c r="F28" s="966">
        <v>1</v>
      </c>
      <c r="G28" s="712">
        <v>84</v>
      </c>
      <c r="H28" s="978">
        <f t="shared" ref="H28:H29" si="11">C28*D28*G28</f>
        <v>420</v>
      </c>
      <c r="I28" s="966">
        <f t="shared" ref="I28:I29" si="12">C28*E28*F28*16.5</f>
        <v>165</v>
      </c>
      <c r="J28" s="1014">
        <f t="shared" si="10"/>
        <v>165</v>
      </c>
      <c r="K28" s="1014">
        <v>0</v>
      </c>
      <c r="L28" s="1014">
        <v>0</v>
      </c>
      <c r="M28" s="975"/>
      <c r="N28" s="975"/>
      <c r="O28" s="975"/>
      <c r="P28" s="975"/>
      <c r="Q28" s="975"/>
      <c r="R28" s="976"/>
      <c r="S28" s="515"/>
      <c r="T28" s="515"/>
      <c r="U28" s="515"/>
      <c r="V28" s="515"/>
    </row>
    <row r="29" spans="1:22" s="890" customFormat="1" ht="15.75" customHeight="1">
      <c r="A29" s="901" t="s">
        <v>158</v>
      </c>
      <c r="B29" s="918" t="s">
        <v>884</v>
      </c>
      <c r="C29" s="712">
        <v>3</v>
      </c>
      <c r="D29" s="1270">
        <v>1</v>
      </c>
      <c r="E29" s="712">
        <v>2</v>
      </c>
      <c r="F29" s="978">
        <v>1</v>
      </c>
      <c r="G29" s="712">
        <v>69</v>
      </c>
      <c r="H29" s="978">
        <f t="shared" si="11"/>
        <v>207</v>
      </c>
      <c r="I29" s="966">
        <f t="shared" si="12"/>
        <v>99</v>
      </c>
      <c r="J29" s="1014">
        <f t="shared" si="10"/>
        <v>99</v>
      </c>
      <c r="K29" s="1014">
        <v>0</v>
      </c>
      <c r="L29" s="1014">
        <v>0</v>
      </c>
      <c r="M29" s="975"/>
      <c r="N29" s="975"/>
      <c r="O29" s="975"/>
      <c r="P29" s="975"/>
      <c r="Q29" s="975"/>
      <c r="R29" s="976"/>
      <c r="S29" s="515"/>
      <c r="T29" s="515"/>
      <c r="U29" s="515"/>
      <c r="V29" s="515"/>
    </row>
    <row r="30" spans="1:22" s="890" customFormat="1" ht="15.75" customHeight="1">
      <c r="A30" s="901" t="s">
        <v>159</v>
      </c>
      <c r="B30" s="918" t="s">
        <v>885</v>
      </c>
      <c r="C30" s="712">
        <v>4</v>
      </c>
      <c r="D30" s="1270">
        <v>1.3</v>
      </c>
      <c r="E30" s="712">
        <v>4</v>
      </c>
      <c r="F30" s="978">
        <v>1</v>
      </c>
      <c r="G30" s="712">
        <v>214</v>
      </c>
      <c r="H30" s="978">
        <f>C30*D30*G30</f>
        <v>1112.8</v>
      </c>
      <c r="I30" s="966">
        <f>C30*E30*F30*16.5</f>
        <v>264</v>
      </c>
      <c r="J30" s="1014">
        <f t="shared" si="10"/>
        <v>264</v>
      </c>
      <c r="K30" s="1014">
        <v>0</v>
      </c>
      <c r="L30" s="1014">
        <v>0</v>
      </c>
      <c r="M30" s="975"/>
      <c r="N30" s="975"/>
      <c r="O30" s="975"/>
      <c r="P30" s="975"/>
      <c r="Q30" s="975"/>
      <c r="R30" s="976"/>
      <c r="S30" s="515"/>
      <c r="T30" s="515"/>
      <c r="U30" s="515"/>
      <c r="V30" s="515"/>
    </row>
    <row r="31" spans="1:22" s="890" customFormat="1" ht="15.75" customHeight="1">
      <c r="A31" s="901" t="s">
        <v>160</v>
      </c>
      <c r="B31" s="918" t="s">
        <v>886</v>
      </c>
      <c r="C31" s="712">
        <v>3</v>
      </c>
      <c r="D31" s="1270">
        <v>1.1000000000000001</v>
      </c>
      <c r="E31" s="712">
        <v>3</v>
      </c>
      <c r="F31" s="978">
        <v>1</v>
      </c>
      <c r="G31" s="712">
        <v>150</v>
      </c>
      <c r="H31" s="978">
        <v>150</v>
      </c>
      <c r="I31" s="966">
        <f t="shared" ref="I31" si="13">C31*E31*F31*16.5</f>
        <v>148.5</v>
      </c>
      <c r="J31" s="1014">
        <f t="shared" si="10"/>
        <v>148.5</v>
      </c>
      <c r="K31" s="1014">
        <v>0</v>
      </c>
      <c r="L31" s="1014">
        <v>0</v>
      </c>
      <c r="M31" s="964"/>
      <c r="N31" s="964"/>
      <c r="O31" s="964"/>
      <c r="P31" s="964"/>
      <c r="Q31" s="964"/>
      <c r="R31" s="965"/>
      <c r="S31" s="515"/>
      <c r="T31" s="515"/>
      <c r="U31" s="515"/>
      <c r="V31" s="515"/>
    </row>
    <row r="32" spans="1:22" s="890" customFormat="1" ht="15.75" customHeight="1">
      <c r="A32" s="901" t="s">
        <v>749</v>
      </c>
      <c r="B32" s="918" t="s">
        <v>887</v>
      </c>
      <c r="C32" s="712">
        <v>5</v>
      </c>
      <c r="D32" s="1270">
        <v>1</v>
      </c>
      <c r="E32" s="712">
        <v>3</v>
      </c>
      <c r="F32" s="978">
        <v>1.3</v>
      </c>
      <c r="G32" s="712">
        <v>220</v>
      </c>
      <c r="H32" s="978">
        <f>C32*D32*G32</f>
        <v>1100</v>
      </c>
      <c r="I32" s="966">
        <f>C32*E32*F32*16.5</f>
        <v>321.75</v>
      </c>
      <c r="J32" s="1014">
        <f t="shared" si="10"/>
        <v>321.75</v>
      </c>
      <c r="K32" s="1014">
        <v>0</v>
      </c>
      <c r="L32" s="1014">
        <v>0</v>
      </c>
      <c r="M32" s="964"/>
      <c r="N32" s="964"/>
      <c r="O32" s="964"/>
      <c r="P32" s="964"/>
      <c r="Q32" s="964"/>
      <c r="R32" s="965"/>
      <c r="S32" s="515"/>
      <c r="T32" s="515"/>
      <c r="U32" s="515"/>
      <c r="V32" s="515"/>
    </row>
    <row r="33" spans="1:22" s="890" customFormat="1" ht="15.75" customHeight="1">
      <c r="A33" s="901" t="s">
        <v>750</v>
      </c>
      <c r="B33" s="918" t="s">
        <v>888</v>
      </c>
      <c r="C33" s="712">
        <v>4</v>
      </c>
      <c r="D33" s="1270">
        <v>1.3</v>
      </c>
      <c r="E33" s="712">
        <v>2</v>
      </c>
      <c r="F33" s="978">
        <v>1</v>
      </c>
      <c r="G33" s="712">
        <v>84</v>
      </c>
      <c r="H33" s="978">
        <f t="shared" ref="H33" si="14">C33*D33*G33</f>
        <v>436.8</v>
      </c>
      <c r="I33" s="966">
        <f t="shared" ref="I33" si="15">C33*E33*F33*16.5</f>
        <v>132</v>
      </c>
      <c r="J33" s="1014">
        <f t="shared" si="10"/>
        <v>132</v>
      </c>
      <c r="K33" s="1014">
        <v>0</v>
      </c>
      <c r="L33" s="1014">
        <v>0</v>
      </c>
      <c r="M33" s="964"/>
      <c r="N33" s="964"/>
      <c r="O33" s="964"/>
      <c r="P33" s="964"/>
      <c r="Q33" s="964"/>
      <c r="R33" s="965"/>
      <c r="S33" s="515"/>
      <c r="T33" s="515"/>
      <c r="U33" s="515"/>
      <c r="V33" s="515"/>
    </row>
    <row r="34" spans="1:22" s="890" customFormat="1" ht="15.75" customHeight="1">
      <c r="A34" s="901" t="s">
        <v>753</v>
      </c>
      <c r="B34" s="918" t="s">
        <v>890</v>
      </c>
      <c r="C34" s="712">
        <v>3</v>
      </c>
      <c r="D34" s="1270">
        <v>1.3</v>
      </c>
      <c r="E34" s="712">
        <v>2</v>
      </c>
      <c r="F34" s="978">
        <v>1</v>
      </c>
      <c r="G34" s="712">
        <v>77</v>
      </c>
      <c r="H34" s="978">
        <f t="shared" si="3"/>
        <v>300.3</v>
      </c>
      <c r="I34" s="966">
        <f t="shared" si="4"/>
        <v>99</v>
      </c>
      <c r="J34" s="1014">
        <f t="shared" si="10"/>
        <v>99</v>
      </c>
      <c r="K34" s="1014">
        <v>0</v>
      </c>
      <c r="L34" s="1014">
        <v>0</v>
      </c>
      <c r="M34" s="964"/>
      <c r="N34" s="964"/>
      <c r="O34" s="964"/>
      <c r="P34" s="964"/>
      <c r="Q34" s="964"/>
      <c r="R34" s="965"/>
      <c r="S34" s="515"/>
      <c r="T34" s="515"/>
      <c r="U34" s="515"/>
      <c r="V34" s="515"/>
    </row>
    <row r="35" spans="1:22" s="890" customFormat="1" ht="15.75" customHeight="1">
      <c r="A35" s="901" t="s">
        <v>755</v>
      </c>
      <c r="B35" s="918" t="s">
        <v>891</v>
      </c>
      <c r="C35" s="712">
        <v>5</v>
      </c>
      <c r="D35" s="1270">
        <v>1.3</v>
      </c>
      <c r="E35" s="712">
        <v>2</v>
      </c>
      <c r="F35" s="978">
        <v>1</v>
      </c>
      <c r="G35" s="712">
        <v>77</v>
      </c>
      <c r="H35" s="978">
        <f t="shared" si="3"/>
        <v>500.5</v>
      </c>
      <c r="I35" s="966">
        <f t="shared" si="4"/>
        <v>165</v>
      </c>
      <c r="J35" s="1014">
        <f t="shared" si="10"/>
        <v>165</v>
      </c>
      <c r="K35" s="1014">
        <v>0</v>
      </c>
      <c r="L35" s="1014">
        <v>0</v>
      </c>
      <c r="M35" s="964"/>
      <c r="N35" s="964"/>
      <c r="O35" s="964"/>
      <c r="P35" s="964"/>
      <c r="Q35" s="964"/>
      <c r="R35" s="965"/>
      <c r="S35" s="515"/>
      <c r="T35" s="515"/>
      <c r="U35" s="515"/>
      <c r="V35" s="515"/>
    </row>
    <row r="36" spans="1:22" s="890" customFormat="1" ht="15.75" customHeight="1">
      <c r="A36" s="901" t="s">
        <v>762</v>
      </c>
      <c r="B36" s="918" t="s">
        <v>895</v>
      </c>
      <c r="C36" s="712">
        <v>3</v>
      </c>
      <c r="D36" s="1270">
        <v>1</v>
      </c>
      <c r="E36" s="712">
        <v>3</v>
      </c>
      <c r="F36" s="978">
        <v>1</v>
      </c>
      <c r="G36" s="712">
        <v>200</v>
      </c>
      <c r="H36" s="978">
        <f t="shared" si="3"/>
        <v>600</v>
      </c>
      <c r="I36" s="966">
        <f t="shared" si="4"/>
        <v>148.5</v>
      </c>
      <c r="J36" s="1014">
        <f t="shared" si="10"/>
        <v>148.5</v>
      </c>
      <c r="K36" s="1014">
        <v>0</v>
      </c>
      <c r="L36" s="1014">
        <v>0</v>
      </c>
      <c r="M36" s="964"/>
      <c r="N36" s="964"/>
      <c r="O36" s="964"/>
      <c r="P36" s="964"/>
      <c r="Q36" s="964"/>
      <c r="R36" s="965"/>
      <c r="S36" s="515"/>
      <c r="T36" s="515"/>
      <c r="U36" s="515"/>
      <c r="V36" s="515"/>
    </row>
    <row r="37" spans="1:22" s="890" customFormat="1" ht="15.75" customHeight="1">
      <c r="A37" s="901" t="s">
        <v>771</v>
      </c>
      <c r="B37" s="918" t="s">
        <v>900</v>
      </c>
      <c r="C37" s="712">
        <v>3</v>
      </c>
      <c r="D37" s="1272">
        <v>1.5</v>
      </c>
      <c r="E37" s="712">
        <v>1</v>
      </c>
      <c r="F37" s="978">
        <v>1</v>
      </c>
      <c r="G37" s="712">
        <v>45</v>
      </c>
      <c r="H37" s="978">
        <f t="shared" si="3"/>
        <v>202.5</v>
      </c>
      <c r="I37" s="966">
        <f t="shared" si="4"/>
        <v>49.5</v>
      </c>
      <c r="J37" s="1014">
        <f t="shared" si="10"/>
        <v>49.5</v>
      </c>
      <c r="K37" s="1014">
        <v>0</v>
      </c>
      <c r="L37" s="1014">
        <v>0</v>
      </c>
      <c r="M37" s="964"/>
      <c r="N37" s="964"/>
      <c r="O37" s="964"/>
      <c r="P37" s="964"/>
      <c r="Q37" s="964"/>
      <c r="R37" s="965"/>
      <c r="S37" s="515" t="s">
        <v>1444</v>
      </c>
      <c r="T37" s="515"/>
      <c r="U37" s="515"/>
      <c r="V37" s="515"/>
    </row>
    <row r="38" spans="1:22" s="890" customFormat="1" ht="15.75" customHeight="1">
      <c r="A38" s="882">
        <v>2</v>
      </c>
      <c r="B38" s="707" t="s">
        <v>523</v>
      </c>
      <c r="C38" s="718">
        <f>C39+C47</f>
        <v>45</v>
      </c>
      <c r="D38" s="1273"/>
      <c r="E38" s="718">
        <f>E39+E47</f>
        <v>31</v>
      </c>
      <c r="F38" s="979"/>
      <c r="G38" s="979">
        <f>G39+G47</f>
        <v>450</v>
      </c>
      <c r="H38" s="979">
        <f>H39+H47</f>
        <v>3150</v>
      </c>
      <c r="I38" s="979">
        <f>I39+I47</f>
        <v>1732.5</v>
      </c>
      <c r="J38" s="979">
        <f>J39+J47</f>
        <v>1732.5</v>
      </c>
      <c r="K38" s="979">
        <f t="shared" ref="K38:L38" si="16">K39+K47</f>
        <v>0</v>
      </c>
      <c r="L38" s="979">
        <f t="shared" si="16"/>
        <v>0</v>
      </c>
      <c r="M38" s="964"/>
      <c r="N38" s="964"/>
      <c r="O38" s="964"/>
      <c r="P38" s="964"/>
      <c r="Q38" s="964"/>
      <c r="R38" s="965"/>
      <c r="S38" s="515"/>
      <c r="T38" s="515"/>
      <c r="U38" s="515"/>
      <c r="V38" s="515"/>
    </row>
    <row r="39" spans="1:22" s="890" customFormat="1" ht="15.75" customHeight="1">
      <c r="A39" s="967">
        <v>2.1</v>
      </c>
      <c r="B39" s="921" t="s">
        <v>1374</v>
      </c>
      <c r="C39" s="708">
        <f>C40+C46</f>
        <v>30</v>
      </c>
      <c r="D39" s="1269"/>
      <c r="E39" s="708">
        <f t="shared" ref="E39:L39" si="17">E40+E46</f>
        <v>16</v>
      </c>
      <c r="F39" s="708"/>
      <c r="G39" s="708">
        <f t="shared" si="17"/>
        <v>450</v>
      </c>
      <c r="H39" s="708">
        <f t="shared" si="17"/>
        <v>1890</v>
      </c>
      <c r="I39" s="708">
        <f t="shared" si="17"/>
        <v>990</v>
      </c>
      <c r="J39" s="708">
        <f>J40+J46</f>
        <v>990</v>
      </c>
      <c r="K39" s="708">
        <f t="shared" si="17"/>
        <v>0</v>
      </c>
      <c r="L39" s="708">
        <f t="shared" si="17"/>
        <v>0</v>
      </c>
      <c r="M39" s="975"/>
      <c r="N39" s="975"/>
      <c r="O39" s="975"/>
      <c r="P39" s="975"/>
      <c r="Q39" s="975"/>
      <c r="R39" s="976"/>
      <c r="S39" s="515"/>
      <c r="T39" s="515"/>
      <c r="U39" s="515"/>
      <c r="V39" s="515"/>
    </row>
    <row r="40" spans="1:22" s="890" customFormat="1" ht="15.75" customHeight="1">
      <c r="A40" s="967" t="s">
        <v>154</v>
      </c>
      <c r="B40" s="921" t="s">
        <v>169</v>
      </c>
      <c r="C40" s="708">
        <f>SUM(C41:C45)</f>
        <v>15</v>
      </c>
      <c r="D40" s="1269"/>
      <c r="E40" s="708">
        <f t="shared" ref="E40:L40" si="18">SUM(E41:E45)</f>
        <v>15</v>
      </c>
      <c r="F40" s="708"/>
      <c r="G40" s="708">
        <f t="shared" si="18"/>
        <v>420</v>
      </c>
      <c r="H40" s="708">
        <f t="shared" si="18"/>
        <v>1260</v>
      </c>
      <c r="I40" s="708">
        <f t="shared" si="18"/>
        <v>742.5</v>
      </c>
      <c r="J40" s="708">
        <f>SUM(J41:J45)</f>
        <v>742.5</v>
      </c>
      <c r="K40" s="708">
        <f t="shared" si="18"/>
        <v>0</v>
      </c>
      <c r="L40" s="708">
        <f t="shared" si="18"/>
        <v>0</v>
      </c>
      <c r="M40" s="964"/>
      <c r="N40" s="964"/>
      <c r="O40" s="964"/>
      <c r="P40" s="964"/>
      <c r="Q40" s="964"/>
      <c r="R40" s="965"/>
      <c r="S40" s="515"/>
      <c r="T40" s="515"/>
      <c r="U40" s="515"/>
      <c r="V40" s="515"/>
    </row>
    <row r="41" spans="1:22" s="890" customFormat="1" ht="15.75" customHeight="1">
      <c r="A41" s="901" t="s">
        <v>155</v>
      </c>
      <c r="B41" s="1023" t="s">
        <v>901</v>
      </c>
      <c r="C41" s="713">
        <v>3</v>
      </c>
      <c r="D41" s="1271">
        <v>1</v>
      </c>
      <c r="E41" s="713">
        <v>3</v>
      </c>
      <c r="F41" s="966">
        <v>1</v>
      </c>
      <c r="G41" s="713">
        <v>84</v>
      </c>
      <c r="H41" s="978">
        <f t="shared" ref="H41:H52" si="19">C41*D41*G41</f>
        <v>252</v>
      </c>
      <c r="I41" s="966">
        <f t="shared" ref="I41:I52" si="20">C41*E41*F41*16.5</f>
        <v>148.5</v>
      </c>
      <c r="J41" s="1014">
        <f t="shared" ref="J41:J52" si="21">I41</f>
        <v>148.5</v>
      </c>
      <c r="K41" s="1014">
        <v>0</v>
      </c>
      <c r="L41" s="1014">
        <v>0</v>
      </c>
      <c r="M41" s="964"/>
      <c r="N41" s="964"/>
      <c r="O41" s="964"/>
      <c r="P41" s="964"/>
      <c r="Q41" s="964"/>
      <c r="R41" s="965"/>
      <c r="S41" s="515"/>
      <c r="T41" s="515"/>
      <c r="U41" s="515"/>
      <c r="V41" s="515"/>
    </row>
    <row r="42" spans="1:22" s="890" customFormat="1" ht="15.75" customHeight="1">
      <c r="A42" s="901" t="s">
        <v>156</v>
      </c>
      <c r="B42" s="1023" t="s">
        <v>902</v>
      </c>
      <c r="C42" s="713">
        <v>3</v>
      </c>
      <c r="D42" s="1271">
        <v>1</v>
      </c>
      <c r="E42" s="713">
        <v>3</v>
      </c>
      <c r="F42" s="966">
        <v>1</v>
      </c>
      <c r="G42" s="713">
        <v>84</v>
      </c>
      <c r="H42" s="978">
        <f t="shared" si="19"/>
        <v>252</v>
      </c>
      <c r="I42" s="966">
        <f t="shared" si="20"/>
        <v>148.5</v>
      </c>
      <c r="J42" s="1014">
        <f t="shared" si="21"/>
        <v>148.5</v>
      </c>
      <c r="K42" s="1014">
        <v>0</v>
      </c>
      <c r="L42" s="1014">
        <v>0</v>
      </c>
      <c r="M42" s="964"/>
      <c r="N42" s="964"/>
      <c r="O42" s="964"/>
      <c r="P42" s="964"/>
      <c r="Q42" s="964"/>
      <c r="R42" s="965"/>
      <c r="S42" s="515"/>
      <c r="T42" s="515"/>
      <c r="U42" s="515"/>
      <c r="V42" s="515"/>
    </row>
    <row r="43" spans="1:22" s="890" customFormat="1" ht="15.75" customHeight="1">
      <c r="A43" s="901" t="s">
        <v>157</v>
      </c>
      <c r="B43" s="1023" t="s">
        <v>903</v>
      </c>
      <c r="C43" s="713">
        <v>3</v>
      </c>
      <c r="D43" s="1271">
        <v>1</v>
      </c>
      <c r="E43" s="713">
        <v>3</v>
      </c>
      <c r="F43" s="966">
        <v>1</v>
      </c>
      <c r="G43" s="713">
        <v>84</v>
      </c>
      <c r="H43" s="978">
        <f t="shared" si="19"/>
        <v>252</v>
      </c>
      <c r="I43" s="966">
        <f t="shared" si="20"/>
        <v>148.5</v>
      </c>
      <c r="J43" s="1014">
        <f t="shared" si="21"/>
        <v>148.5</v>
      </c>
      <c r="K43" s="1014">
        <v>0</v>
      </c>
      <c r="L43" s="1014">
        <v>0</v>
      </c>
      <c r="M43" s="964"/>
      <c r="N43" s="964"/>
      <c r="O43" s="964"/>
      <c r="P43" s="964"/>
      <c r="Q43" s="964"/>
      <c r="R43" s="965"/>
      <c r="S43" s="515"/>
      <c r="T43" s="515"/>
      <c r="U43" s="515"/>
      <c r="V43" s="515"/>
    </row>
    <row r="44" spans="1:22" s="890" customFormat="1" ht="15.75" customHeight="1">
      <c r="A44" s="901" t="s">
        <v>158</v>
      </c>
      <c r="B44" s="1023" t="s">
        <v>904</v>
      </c>
      <c r="C44" s="713">
        <v>3</v>
      </c>
      <c r="D44" s="1271">
        <v>1</v>
      </c>
      <c r="E44" s="713">
        <v>3</v>
      </c>
      <c r="F44" s="966">
        <v>1</v>
      </c>
      <c r="G44" s="713">
        <v>84</v>
      </c>
      <c r="H44" s="978">
        <f t="shared" si="19"/>
        <v>252</v>
      </c>
      <c r="I44" s="966">
        <f t="shared" si="20"/>
        <v>148.5</v>
      </c>
      <c r="J44" s="1014">
        <f t="shared" si="21"/>
        <v>148.5</v>
      </c>
      <c r="K44" s="1014">
        <v>0</v>
      </c>
      <c r="L44" s="1014">
        <v>0</v>
      </c>
      <c r="M44" s="964"/>
      <c r="N44" s="964"/>
      <c r="O44" s="964"/>
      <c r="P44" s="964"/>
      <c r="Q44" s="964"/>
      <c r="R44" s="965"/>
      <c r="S44" s="515"/>
      <c r="T44" s="515"/>
      <c r="U44" s="515"/>
      <c r="V44" s="515"/>
    </row>
    <row r="45" spans="1:22" s="890" customFormat="1" ht="15.75" customHeight="1">
      <c r="A45" s="901" t="s">
        <v>159</v>
      </c>
      <c r="B45" s="1023" t="s">
        <v>905</v>
      </c>
      <c r="C45" s="713">
        <v>3</v>
      </c>
      <c r="D45" s="1271">
        <v>1</v>
      </c>
      <c r="E45" s="713">
        <v>3</v>
      </c>
      <c r="F45" s="966">
        <v>1</v>
      </c>
      <c r="G45" s="713">
        <v>84</v>
      </c>
      <c r="H45" s="978">
        <f t="shared" si="19"/>
        <v>252</v>
      </c>
      <c r="I45" s="966">
        <f t="shared" si="20"/>
        <v>148.5</v>
      </c>
      <c r="J45" s="1014">
        <f t="shared" si="21"/>
        <v>148.5</v>
      </c>
      <c r="K45" s="1014">
        <v>0</v>
      </c>
      <c r="L45" s="1014">
        <v>0</v>
      </c>
      <c r="M45" s="964"/>
      <c r="N45" s="964"/>
      <c r="O45" s="964"/>
      <c r="P45" s="964"/>
      <c r="Q45" s="964"/>
      <c r="R45" s="965"/>
      <c r="S45" s="515"/>
      <c r="T45" s="515"/>
      <c r="U45" s="515"/>
      <c r="V45" s="515"/>
    </row>
    <row r="46" spans="1:22" s="890" customFormat="1" ht="15.75" customHeight="1">
      <c r="A46" s="933" t="s">
        <v>161</v>
      </c>
      <c r="B46" s="929" t="s">
        <v>170</v>
      </c>
      <c r="C46" s="708">
        <v>15</v>
      </c>
      <c r="D46" s="1269">
        <v>1.4</v>
      </c>
      <c r="E46" s="708">
        <v>1</v>
      </c>
      <c r="F46" s="977">
        <v>1</v>
      </c>
      <c r="G46" s="708">
        <v>30</v>
      </c>
      <c r="H46" s="979">
        <f>C46*D46*G46</f>
        <v>630</v>
      </c>
      <c r="I46" s="979">
        <f>C46*E46*F46*16.5</f>
        <v>247.5</v>
      </c>
      <c r="J46" s="1094">
        <f>I46</f>
        <v>247.5</v>
      </c>
      <c r="K46" s="1094">
        <v>0</v>
      </c>
      <c r="L46" s="1094">
        <v>0</v>
      </c>
      <c r="M46" s="975"/>
      <c r="N46" s="975"/>
      <c r="O46" s="975"/>
      <c r="P46" s="975"/>
      <c r="Q46" s="975"/>
      <c r="R46" s="976"/>
      <c r="S46" s="515"/>
      <c r="T46" s="515"/>
      <c r="U46" s="515"/>
      <c r="V46" s="515"/>
    </row>
    <row r="47" spans="1:22" s="890" customFormat="1" ht="15.75" customHeight="1">
      <c r="A47" s="980" t="s">
        <v>1377</v>
      </c>
      <c r="B47" s="918" t="s">
        <v>1375</v>
      </c>
      <c r="C47" s="718">
        <f>SUM(C48:C52)</f>
        <v>15</v>
      </c>
      <c r="D47" s="1270"/>
      <c r="E47" s="718">
        <f>SUM(E48:E52)</f>
        <v>15</v>
      </c>
      <c r="F47" s="978"/>
      <c r="G47" s="718"/>
      <c r="H47" s="979">
        <f>SUM(H48:H52)</f>
        <v>1260</v>
      </c>
      <c r="I47" s="979">
        <f>SUM(I48:I52)</f>
        <v>742.5</v>
      </c>
      <c r="J47" s="979">
        <f>SUM(J48:J52)</f>
        <v>742.5</v>
      </c>
      <c r="K47" s="979">
        <f t="shared" ref="K47:L47" si="22">SUM(K48:K52)</f>
        <v>0</v>
      </c>
      <c r="L47" s="979">
        <f t="shared" si="22"/>
        <v>0</v>
      </c>
      <c r="M47" s="964"/>
      <c r="N47" s="964"/>
      <c r="O47" s="964"/>
      <c r="P47" s="964"/>
      <c r="Q47" s="964"/>
      <c r="R47" s="965"/>
      <c r="S47" s="515"/>
      <c r="T47" s="515"/>
      <c r="U47" s="515"/>
      <c r="V47" s="515"/>
    </row>
    <row r="48" spans="1:22" s="890" customFormat="1" ht="15.75" customHeight="1">
      <c r="A48" s="901" t="s">
        <v>160</v>
      </c>
      <c r="B48" s="1023" t="s">
        <v>906</v>
      </c>
      <c r="C48" s="713">
        <v>3</v>
      </c>
      <c r="D48" s="1271">
        <v>1</v>
      </c>
      <c r="E48" s="713">
        <v>3</v>
      </c>
      <c r="F48" s="966">
        <v>1</v>
      </c>
      <c r="G48" s="713">
        <v>84</v>
      </c>
      <c r="H48" s="978">
        <f t="shared" si="19"/>
        <v>252</v>
      </c>
      <c r="I48" s="966">
        <f t="shared" si="20"/>
        <v>148.5</v>
      </c>
      <c r="J48" s="1014">
        <f t="shared" si="21"/>
        <v>148.5</v>
      </c>
      <c r="K48" s="1014">
        <v>0</v>
      </c>
      <c r="L48" s="1014">
        <v>0</v>
      </c>
      <c r="M48" s="964"/>
      <c r="N48" s="964"/>
      <c r="O48" s="964"/>
      <c r="P48" s="964"/>
      <c r="Q48" s="964"/>
      <c r="R48" s="965"/>
      <c r="S48" s="515"/>
      <c r="T48" s="515"/>
      <c r="U48" s="515"/>
      <c r="V48" s="515"/>
    </row>
    <row r="49" spans="1:22" s="890" customFormat="1" ht="15.75" customHeight="1">
      <c r="A49" s="901" t="s">
        <v>749</v>
      </c>
      <c r="B49" s="1023" t="s">
        <v>907</v>
      </c>
      <c r="C49" s="713">
        <v>3</v>
      </c>
      <c r="D49" s="1271">
        <v>1</v>
      </c>
      <c r="E49" s="713">
        <v>3</v>
      </c>
      <c r="F49" s="966">
        <v>1</v>
      </c>
      <c r="G49" s="713">
        <v>84</v>
      </c>
      <c r="H49" s="978">
        <f t="shared" si="19"/>
        <v>252</v>
      </c>
      <c r="I49" s="966">
        <f t="shared" si="20"/>
        <v>148.5</v>
      </c>
      <c r="J49" s="1014">
        <f t="shared" si="21"/>
        <v>148.5</v>
      </c>
      <c r="K49" s="1014">
        <v>0</v>
      </c>
      <c r="L49" s="1014">
        <v>0</v>
      </c>
      <c r="M49" s="964"/>
      <c r="N49" s="964"/>
      <c r="O49" s="964"/>
      <c r="P49" s="964"/>
      <c r="Q49" s="964"/>
      <c r="R49" s="965"/>
      <c r="S49" s="515"/>
      <c r="T49" s="515"/>
      <c r="U49" s="515"/>
      <c r="V49" s="515"/>
    </row>
    <row r="50" spans="1:22" s="890" customFormat="1" ht="15.75" customHeight="1">
      <c r="A50" s="901" t="s">
        <v>750</v>
      </c>
      <c r="B50" s="1023" t="s">
        <v>908</v>
      </c>
      <c r="C50" s="713">
        <v>3</v>
      </c>
      <c r="D50" s="1271">
        <v>1</v>
      </c>
      <c r="E50" s="713">
        <v>3</v>
      </c>
      <c r="F50" s="966">
        <v>1</v>
      </c>
      <c r="G50" s="713">
        <v>84</v>
      </c>
      <c r="H50" s="978">
        <f t="shared" si="19"/>
        <v>252</v>
      </c>
      <c r="I50" s="966">
        <f t="shared" si="20"/>
        <v>148.5</v>
      </c>
      <c r="J50" s="1014">
        <f t="shared" si="21"/>
        <v>148.5</v>
      </c>
      <c r="K50" s="1014">
        <v>0</v>
      </c>
      <c r="L50" s="1014">
        <v>0</v>
      </c>
      <c r="M50" s="964"/>
      <c r="N50" s="964"/>
      <c r="O50" s="964"/>
      <c r="P50" s="964"/>
      <c r="Q50" s="964"/>
      <c r="R50" s="965"/>
      <c r="S50" s="515"/>
      <c r="T50" s="515"/>
      <c r="U50" s="515"/>
      <c r="V50" s="515"/>
    </row>
    <row r="51" spans="1:22" s="890" customFormat="1" ht="15.75" customHeight="1">
      <c r="A51" s="901" t="s">
        <v>752</v>
      </c>
      <c r="B51" s="1023" t="s">
        <v>909</v>
      </c>
      <c r="C51" s="713">
        <v>3</v>
      </c>
      <c r="D51" s="1271">
        <v>1</v>
      </c>
      <c r="E51" s="713">
        <v>3</v>
      </c>
      <c r="F51" s="966">
        <v>1</v>
      </c>
      <c r="G51" s="713">
        <v>84</v>
      </c>
      <c r="H51" s="978">
        <f t="shared" si="19"/>
        <v>252</v>
      </c>
      <c r="I51" s="966">
        <f t="shared" si="20"/>
        <v>148.5</v>
      </c>
      <c r="J51" s="1014">
        <f t="shared" si="21"/>
        <v>148.5</v>
      </c>
      <c r="K51" s="1014">
        <v>0</v>
      </c>
      <c r="L51" s="1014">
        <v>0</v>
      </c>
      <c r="M51" s="964"/>
      <c r="N51" s="964"/>
      <c r="O51" s="964"/>
      <c r="P51" s="964"/>
      <c r="Q51" s="964"/>
      <c r="R51" s="965"/>
      <c r="S51" s="515"/>
      <c r="T51" s="515"/>
      <c r="U51" s="515"/>
      <c r="V51" s="515"/>
    </row>
    <row r="52" spans="1:22" s="890" customFormat="1" ht="15.75" customHeight="1">
      <c r="A52" s="901" t="s">
        <v>753</v>
      </c>
      <c r="B52" s="1023" t="s">
        <v>910</v>
      </c>
      <c r="C52" s="713">
        <v>3</v>
      </c>
      <c r="D52" s="1271">
        <v>1</v>
      </c>
      <c r="E52" s="713">
        <v>3</v>
      </c>
      <c r="F52" s="966">
        <v>1</v>
      </c>
      <c r="G52" s="713">
        <v>84</v>
      </c>
      <c r="H52" s="978">
        <f t="shared" si="19"/>
        <v>252</v>
      </c>
      <c r="I52" s="966">
        <f t="shared" si="20"/>
        <v>148.5</v>
      </c>
      <c r="J52" s="1014">
        <f t="shared" si="21"/>
        <v>148.5</v>
      </c>
      <c r="K52" s="1014">
        <v>0</v>
      </c>
      <c r="L52" s="1014">
        <v>0</v>
      </c>
      <c r="M52" s="964"/>
      <c r="N52" s="964"/>
      <c r="O52" s="964"/>
      <c r="P52" s="964"/>
      <c r="Q52" s="964"/>
      <c r="R52" s="965"/>
      <c r="S52" s="515"/>
      <c r="T52" s="515"/>
      <c r="U52" s="515"/>
      <c r="V52" s="515"/>
    </row>
    <row r="53" spans="1:22" s="890" customFormat="1" ht="26">
      <c r="A53" s="882" t="s">
        <v>41</v>
      </c>
      <c r="B53" s="707" t="s">
        <v>175</v>
      </c>
      <c r="C53" s="708">
        <f>C54+C73</f>
        <v>93</v>
      </c>
      <c r="D53" s="1269"/>
      <c r="E53" s="708">
        <f>E54+E73</f>
        <v>440</v>
      </c>
      <c r="F53" s="977"/>
      <c r="G53" s="708"/>
      <c r="H53" s="977">
        <f>H54+H73</f>
        <v>116190</v>
      </c>
      <c r="I53" s="977">
        <f>I54+I73</f>
        <v>24948</v>
      </c>
      <c r="J53" s="977">
        <f>J54+J73</f>
        <v>21376.5</v>
      </c>
      <c r="K53" s="977">
        <f t="shared" ref="K53:L53" si="23">K54+K73</f>
        <v>0</v>
      </c>
      <c r="L53" s="977">
        <f t="shared" si="23"/>
        <v>3080</v>
      </c>
      <c r="M53" s="964"/>
      <c r="N53" s="964"/>
      <c r="O53" s="964"/>
      <c r="P53" s="964"/>
      <c r="Q53" s="964"/>
      <c r="R53" s="965"/>
      <c r="S53" s="515"/>
      <c r="T53" s="515"/>
      <c r="U53" s="515"/>
      <c r="V53" s="515"/>
    </row>
    <row r="54" spans="1:22" s="890" customFormat="1" ht="15.75" customHeight="1">
      <c r="A54" s="882">
        <v>1</v>
      </c>
      <c r="B54" s="921" t="s">
        <v>176</v>
      </c>
      <c r="C54" s="708">
        <f>C55+C64</f>
        <v>54</v>
      </c>
      <c r="D54" s="1269"/>
      <c r="E54" s="708">
        <f>E55+E64</f>
        <v>416</v>
      </c>
      <c r="F54" s="977"/>
      <c r="G54" s="708"/>
      <c r="H54" s="977">
        <f>H55+H64</f>
        <v>111900</v>
      </c>
      <c r="I54" s="977">
        <f>I55+I64</f>
        <v>23661</v>
      </c>
      <c r="J54" s="977">
        <f>J55+J64</f>
        <v>20089.5</v>
      </c>
      <c r="K54" s="977">
        <f t="shared" ref="K54" si="24">K55+K64</f>
        <v>0</v>
      </c>
      <c r="L54" s="977">
        <f>L55+L64</f>
        <v>3080</v>
      </c>
      <c r="M54" s="1024"/>
      <c r="N54" s="964"/>
      <c r="O54" s="964"/>
      <c r="P54" s="964"/>
      <c r="Q54" s="964"/>
      <c r="R54" s="965"/>
      <c r="S54" s="515"/>
      <c r="T54" s="515"/>
      <c r="U54" s="515"/>
      <c r="V54" s="515"/>
    </row>
    <row r="55" spans="1:22" s="890" customFormat="1" ht="15.75" customHeight="1">
      <c r="A55" s="967">
        <v>1.1000000000000001</v>
      </c>
      <c r="B55" s="921" t="s">
        <v>1374</v>
      </c>
      <c r="C55" s="708">
        <f>SUM(C56:C63)</f>
        <v>29</v>
      </c>
      <c r="D55" s="1269"/>
      <c r="E55" s="708">
        <f>SUM(E56:E63)</f>
        <v>208</v>
      </c>
      <c r="F55" s="977"/>
      <c r="G55" s="708"/>
      <c r="H55" s="977">
        <f>SUM(H56:H63)</f>
        <v>65600</v>
      </c>
      <c r="I55" s="977">
        <f>SUM(I56:I63)</f>
        <v>12853.5</v>
      </c>
      <c r="J55" s="977">
        <f t="shared" ref="J55:L55" si="25">SUM(J56:J63)</f>
        <v>10600.5</v>
      </c>
      <c r="K55" s="977">
        <f t="shared" si="25"/>
        <v>0</v>
      </c>
      <c r="L55" s="977">
        <f t="shared" si="25"/>
        <v>1760</v>
      </c>
      <c r="M55" s="975"/>
      <c r="N55" s="975"/>
      <c r="O55" s="975"/>
      <c r="P55" s="975"/>
      <c r="Q55" s="975"/>
      <c r="R55" s="976"/>
      <c r="S55" s="515"/>
      <c r="T55" s="515"/>
      <c r="U55" s="515"/>
      <c r="V55" s="515"/>
    </row>
    <row r="56" spans="1:22" s="890" customFormat="1" ht="15.75" customHeight="1">
      <c r="A56" s="908" t="s">
        <v>155</v>
      </c>
      <c r="B56" s="994" t="s">
        <v>911</v>
      </c>
      <c r="C56" s="713">
        <v>5</v>
      </c>
      <c r="D56" s="1271">
        <v>1</v>
      </c>
      <c r="E56" s="713">
        <v>31</v>
      </c>
      <c r="F56" s="966">
        <v>1</v>
      </c>
      <c r="G56" s="713">
        <v>2700</v>
      </c>
      <c r="H56" s="978">
        <f>C56*D56*G56</f>
        <v>13500</v>
      </c>
      <c r="I56" s="966">
        <f>C56*E56*F56*16.5</f>
        <v>2557.5</v>
      </c>
      <c r="J56" s="1014">
        <f t="shared" ref="J56:J69" si="26">I56</f>
        <v>2557.5</v>
      </c>
      <c r="K56" s="1014">
        <v>0</v>
      </c>
      <c r="L56" s="1014">
        <v>0</v>
      </c>
      <c r="M56" s="964"/>
      <c r="N56" s="964"/>
      <c r="O56" s="964"/>
      <c r="P56" s="964"/>
      <c r="Q56" s="964"/>
      <c r="R56" s="965"/>
      <c r="S56" s="515"/>
      <c r="T56" s="515"/>
      <c r="U56" s="515"/>
      <c r="V56" s="515"/>
    </row>
    <row r="57" spans="1:22" s="890" customFormat="1" ht="15.75" customHeight="1">
      <c r="A57" s="908" t="s">
        <v>157</v>
      </c>
      <c r="B57" s="1025" t="s">
        <v>913</v>
      </c>
      <c r="C57" s="713">
        <v>3</v>
      </c>
      <c r="D57" s="1271">
        <v>1</v>
      </c>
      <c r="E57" s="713">
        <v>21</v>
      </c>
      <c r="F57" s="966">
        <v>1</v>
      </c>
      <c r="G57" s="713">
        <v>1200</v>
      </c>
      <c r="H57" s="978">
        <f>C57*D57*G57</f>
        <v>3600</v>
      </c>
      <c r="I57" s="966">
        <f t="shared" ref="I57:I71" si="27">C57*E57*F57*16.5</f>
        <v>1039.5</v>
      </c>
      <c r="J57" s="1095">
        <v>600</v>
      </c>
      <c r="K57" s="1014">
        <v>0</v>
      </c>
      <c r="L57" s="1014">
        <v>440</v>
      </c>
      <c r="M57" s="964"/>
      <c r="N57" s="964"/>
      <c r="O57" s="964"/>
      <c r="P57" s="964"/>
      <c r="Q57" s="964"/>
      <c r="R57" s="965"/>
      <c r="S57" s="515"/>
      <c r="T57" s="515"/>
      <c r="U57" s="515"/>
      <c r="V57" s="515"/>
    </row>
    <row r="58" spans="1:22" s="890" customFormat="1" ht="15.75" customHeight="1">
      <c r="A58" s="908" t="s">
        <v>158</v>
      </c>
      <c r="B58" s="1023" t="s">
        <v>914</v>
      </c>
      <c r="C58" s="713">
        <v>3</v>
      </c>
      <c r="D58" s="1271">
        <v>1</v>
      </c>
      <c r="E58" s="713">
        <v>21</v>
      </c>
      <c r="F58" s="966">
        <v>1</v>
      </c>
      <c r="G58" s="713">
        <v>2100</v>
      </c>
      <c r="H58" s="978">
        <f t="shared" ref="H58:H71" si="28">C58*D58*G58</f>
        <v>6300</v>
      </c>
      <c r="I58" s="966">
        <f t="shared" si="27"/>
        <v>1039.5</v>
      </c>
      <c r="J58" s="1095">
        <v>600</v>
      </c>
      <c r="K58" s="1014">
        <v>0</v>
      </c>
      <c r="L58" s="1014">
        <v>440</v>
      </c>
      <c r="M58" s="964"/>
      <c r="N58" s="964"/>
      <c r="O58" s="964"/>
      <c r="P58" s="964"/>
      <c r="Q58" s="964"/>
      <c r="R58" s="965"/>
      <c r="S58" s="515"/>
      <c r="T58" s="515"/>
      <c r="U58" s="515"/>
      <c r="V58" s="515"/>
    </row>
    <row r="59" spans="1:22" s="890" customFormat="1" ht="15.75" customHeight="1">
      <c r="A59" s="908" t="s">
        <v>159</v>
      </c>
      <c r="B59" s="1023" t="s">
        <v>915</v>
      </c>
      <c r="C59" s="713">
        <v>3</v>
      </c>
      <c r="D59" s="1271">
        <v>1</v>
      </c>
      <c r="E59" s="713">
        <v>21</v>
      </c>
      <c r="F59" s="966">
        <v>1</v>
      </c>
      <c r="G59" s="713">
        <v>2100</v>
      </c>
      <c r="H59" s="978">
        <f t="shared" si="28"/>
        <v>6300</v>
      </c>
      <c r="I59" s="966">
        <f t="shared" si="27"/>
        <v>1039.5</v>
      </c>
      <c r="J59" s="1014">
        <f t="shared" si="26"/>
        <v>1039.5</v>
      </c>
      <c r="K59" s="1014">
        <v>0</v>
      </c>
      <c r="L59" s="1014">
        <v>0</v>
      </c>
      <c r="M59" s="964"/>
      <c r="N59" s="964"/>
      <c r="O59" s="964"/>
      <c r="P59" s="964"/>
      <c r="Q59" s="964"/>
      <c r="R59" s="965"/>
      <c r="S59" s="515"/>
      <c r="T59" s="515"/>
      <c r="U59" s="515"/>
      <c r="V59" s="515"/>
    </row>
    <row r="60" spans="1:22" s="890" customFormat="1" ht="15.75" customHeight="1">
      <c r="A60" s="908" t="s">
        <v>750</v>
      </c>
      <c r="B60" s="1023" t="s">
        <v>918</v>
      </c>
      <c r="C60" s="713">
        <v>4</v>
      </c>
      <c r="D60" s="1271">
        <v>1</v>
      </c>
      <c r="E60" s="713">
        <v>31</v>
      </c>
      <c r="F60" s="966">
        <v>1</v>
      </c>
      <c r="G60" s="713">
        <v>2000</v>
      </c>
      <c r="H60" s="978">
        <f t="shared" si="28"/>
        <v>8000</v>
      </c>
      <c r="I60" s="966">
        <f t="shared" si="27"/>
        <v>2046</v>
      </c>
      <c r="J60" s="1014">
        <f t="shared" si="26"/>
        <v>2046</v>
      </c>
      <c r="K60" s="1014">
        <v>0</v>
      </c>
      <c r="L60" s="1014">
        <v>0</v>
      </c>
      <c r="M60" s="964"/>
      <c r="N60" s="964"/>
      <c r="O60" s="964"/>
      <c r="P60" s="964"/>
      <c r="Q60" s="964"/>
      <c r="R60" s="965"/>
      <c r="S60" s="515"/>
      <c r="T60" s="515"/>
      <c r="U60" s="515"/>
      <c r="V60" s="515"/>
    </row>
    <row r="61" spans="1:22" s="890" customFormat="1" ht="15.75" customHeight="1">
      <c r="A61" s="908" t="s">
        <v>752</v>
      </c>
      <c r="B61" s="1023" t="s">
        <v>888</v>
      </c>
      <c r="C61" s="713">
        <v>5</v>
      </c>
      <c r="D61" s="1271">
        <v>1</v>
      </c>
      <c r="E61" s="713">
        <v>31</v>
      </c>
      <c r="F61" s="966">
        <v>1</v>
      </c>
      <c r="G61" s="713">
        <v>2700</v>
      </c>
      <c r="H61" s="978">
        <f>C61*D61*G61</f>
        <v>13500</v>
      </c>
      <c r="I61" s="966">
        <f>C61*E61*F61*16.5</f>
        <v>2557.5</v>
      </c>
      <c r="J61" s="1014">
        <f>I61</f>
        <v>2557.5</v>
      </c>
      <c r="K61" s="1014">
        <v>0</v>
      </c>
      <c r="L61" s="1014">
        <v>0</v>
      </c>
      <c r="M61" s="964"/>
      <c r="N61" s="964"/>
      <c r="O61" s="964"/>
      <c r="P61" s="964"/>
      <c r="Q61" s="964"/>
      <c r="R61" s="965"/>
      <c r="S61" s="515"/>
      <c r="T61" s="515"/>
      <c r="U61" s="515"/>
      <c r="V61" s="515"/>
    </row>
    <row r="62" spans="1:22" s="890" customFormat="1" ht="15.75" customHeight="1">
      <c r="A62" s="908" t="s">
        <v>753</v>
      </c>
      <c r="B62" s="1023" t="s">
        <v>1376</v>
      </c>
      <c r="C62" s="713">
        <v>3</v>
      </c>
      <c r="D62" s="1271">
        <v>1</v>
      </c>
      <c r="E62" s="713">
        <v>31</v>
      </c>
      <c r="F62" s="966">
        <v>1</v>
      </c>
      <c r="G62" s="713">
        <v>2700</v>
      </c>
      <c r="H62" s="978">
        <f>C62*D62*G62</f>
        <v>8100</v>
      </c>
      <c r="I62" s="966">
        <f>C62*E62*F62*16.5</f>
        <v>1534.5</v>
      </c>
      <c r="J62" s="1095">
        <v>600</v>
      </c>
      <c r="K62" s="1014">
        <v>0</v>
      </c>
      <c r="L62" s="1014">
        <v>440</v>
      </c>
      <c r="M62" s="964"/>
      <c r="N62" s="964"/>
      <c r="O62" s="964"/>
      <c r="P62" s="964"/>
      <c r="Q62" s="964"/>
      <c r="R62" s="965"/>
      <c r="S62" s="515"/>
      <c r="T62" s="515"/>
      <c r="U62" s="515"/>
      <c r="V62" s="515"/>
    </row>
    <row r="63" spans="1:22" s="890" customFormat="1" ht="15.75" customHeight="1">
      <c r="A63" s="908" t="s">
        <v>758</v>
      </c>
      <c r="B63" s="1023" t="s">
        <v>889</v>
      </c>
      <c r="C63" s="713">
        <v>3</v>
      </c>
      <c r="D63" s="1271">
        <v>1</v>
      </c>
      <c r="E63" s="713">
        <v>21</v>
      </c>
      <c r="F63" s="966">
        <v>1</v>
      </c>
      <c r="G63" s="713">
        <v>2100</v>
      </c>
      <c r="H63" s="978">
        <f>C63*D63*G63</f>
        <v>6300</v>
      </c>
      <c r="I63" s="966">
        <f>C63*E63*F63*16.5</f>
        <v>1039.5</v>
      </c>
      <c r="J63" s="1095">
        <v>600</v>
      </c>
      <c r="K63" s="1014">
        <v>0</v>
      </c>
      <c r="L63" s="1014">
        <v>440</v>
      </c>
      <c r="M63" s="964"/>
      <c r="N63" s="964"/>
      <c r="O63" s="964"/>
      <c r="P63" s="964"/>
      <c r="Q63" s="964"/>
      <c r="R63" s="965"/>
      <c r="S63" s="515"/>
      <c r="T63" s="515"/>
      <c r="U63" s="515"/>
      <c r="V63" s="515"/>
    </row>
    <row r="64" spans="1:22" s="890" customFormat="1" ht="15.75" customHeight="1">
      <c r="A64" s="980">
        <v>1.2</v>
      </c>
      <c r="B64" s="918" t="s">
        <v>1375</v>
      </c>
      <c r="C64" s="718">
        <f>SUM(C65:C72)</f>
        <v>25</v>
      </c>
      <c r="D64" s="1270"/>
      <c r="E64" s="718">
        <f>SUM(E65:E72)</f>
        <v>208</v>
      </c>
      <c r="F64" s="978"/>
      <c r="G64" s="718"/>
      <c r="H64" s="979">
        <f>SUM(H65:H72)</f>
        <v>46300</v>
      </c>
      <c r="I64" s="979">
        <f>SUM(I65:I72)</f>
        <v>10807.5</v>
      </c>
      <c r="J64" s="979">
        <f t="shared" ref="J64:L64" si="29">SUM(J65:J72)</f>
        <v>9489</v>
      </c>
      <c r="K64" s="979">
        <f t="shared" si="29"/>
        <v>0</v>
      </c>
      <c r="L64" s="979">
        <f t="shared" si="29"/>
        <v>1320</v>
      </c>
      <c r="M64" s="1024"/>
      <c r="N64" s="964"/>
      <c r="O64" s="964"/>
      <c r="P64" s="964"/>
      <c r="Q64" s="964"/>
      <c r="R64" s="965"/>
      <c r="S64" s="515"/>
      <c r="T64" s="515"/>
      <c r="U64" s="515"/>
      <c r="V64" s="515"/>
    </row>
    <row r="65" spans="1:22" s="890" customFormat="1" ht="15.75" customHeight="1">
      <c r="A65" s="908" t="s">
        <v>156</v>
      </c>
      <c r="B65" s="1025" t="s">
        <v>912</v>
      </c>
      <c r="C65" s="713">
        <v>4</v>
      </c>
      <c r="D65" s="1271">
        <v>1</v>
      </c>
      <c r="E65" s="713">
        <v>31</v>
      </c>
      <c r="F65" s="966">
        <v>1</v>
      </c>
      <c r="G65" s="713">
        <v>2700</v>
      </c>
      <c r="H65" s="978">
        <f>C65*D65*G65</f>
        <v>10800</v>
      </c>
      <c r="I65" s="966">
        <f>C65*E65*F65*16.5</f>
        <v>2046</v>
      </c>
      <c r="J65" s="1014">
        <f>I65</f>
        <v>2046</v>
      </c>
      <c r="K65" s="1014">
        <v>0</v>
      </c>
      <c r="L65" s="1014">
        <v>0</v>
      </c>
      <c r="M65" s="964"/>
      <c r="N65" s="964"/>
      <c r="O65" s="964"/>
      <c r="P65" s="964"/>
      <c r="Q65" s="964"/>
      <c r="R65" s="965"/>
      <c r="S65" s="515"/>
      <c r="T65" s="515"/>
      <c r="U65" s="515"/>
      <c r="V65" s="515"/>
    </row>
    <row r="66" spans="1:22" s="890" customFormat="1" ht="15.75" customHeight="1">
      <c r="A66" s="908" t="s">
        <v>157</v>
      </c>
      <c r="B66" s="1025" t="s">
        <v>913</v>
      </c>
      <c r="C66" s="713">
        <v>3</v>
      </c>
      <c r="D66" s="1271">
        <v>1</v>
      </c>
      <c r="E66" s="713">
        <v>21</v>
      </c>
      <c r="F66" s="966">
        <v>1</v>
      </c>
      <c r="G66" s="713">
        <v>1100</v>
      </c>
      <c r="H66" s="978">
        <f>C66*D66*G66</f>
        <v>3300</v>
      </c>
      <c r="I66" s="966">
        <f t="shared" ref="I66" si="30">C66*E66*F66*16.5</f>
        <v>1039.5</v>
      </c>
      <c r="J66" s="1095">
        <v>600</v>
      </c>
      <c r="K66" s="1014">
        <v>0</v>
      </c>
      <c r="L66" s="1014">
        <v>440</v>
      </c>
      <c r="M66" s="964"/>
      <c r="N66" s="964"/>
      <c r="O66" s="964"/>
      <c r="P66" s="964"/>
      <c r="Q66" s="964"/>
      <c r="R66" s="965"/>
      <c r="S66" s="515"/>
      <c r="T66" s="515"/>
      <c r="U66" s="515"/>
      <c r="V66" s="515"/>
    </row>
    <row r="67" spans="1:22" s="890" customFormat="1" ht="15.75" customHeight="1">
      <c r="A67" s="908" t="s">
        <v>160</v>
      </c>
      <c r="B67" s="1023" t="s">
        <v>916</v>
      </c>
      <c r="C67" s="713">
        <v>3</v>
      </c>
      <c r="D67" s="1271">
        <v>1</v>
      </c>
      <c r="E67" s="713">
        <v>31</v>
      </c>
      <c r="F67" s="966">
        <v>1</v>
      </c>
      <c r="G67" s="713">
        <v>2100</v>
      </c>
      <c r="H67" s="978">
        <f>C67*D67*G67</f>
        <v>6300</v>
      </c>
      <c r="I67" s="966">
        <f>C67*E67*F67*16.5</f>
        <v>1534.5</v>
      </c>
      <c r="J67" s="1014">
        <f>I67</f>
        <v>1534.5</v>
      </c>
      <c r="K67" s="1014">
        <v>0</v>
      </c>
      <c r="L67" s="1014">
        <v>0</v>
      </c>
      <c r="M67" s="964"/>
      <c r="N67" s="964"/>
      <c r="O67" s="964"/>
      <c r="P67" s="964"/>
      <c r="Q67" s="964"/>
      <c r="R67" s="965"/>
      <c r="S67" s="515"/>
      <c r="T67" s="515"/>
      <c r="U67" s="515"/>
      <c r="V67" s="515"/>
    </row>
    <row r="68" spans="1:22" s="890" customFormat="1" ht="15.75" customHeight="1">
      <c r="A68" s="908" t="s">
        <v>749</v>
      </c>
      <c r="B68" s="1023" t="s">
        <v>917</v>
      </c>
      <c r="C68" s="713">
        <v>2</v>
      </c>
      <c r="D68" s="1271">
        <v>1</v>
      </c>
      <c r="E68" s="713">
        <v>31</v>
      </c>
      <c r="F68" s="966">
        <v>1</v>
      </c>
      <c r="G68" s="713">
        <v>2100</v>
      </c>
      <c r="H68" s="978">
        <f t="shared" ref="H68" si="31">C68*D68*G68</f>
        <v>4200</v>
      </c>
      <c r="I68" s="966">
        <f t="shared" ref="I68" si="32">C68*E68*F68*16.5</f>
        <v>1023</v>
      </c>
      <c r="J68" s="1014">
        <f t="shared" ref="J68" si="33">I68</f>
        <v>1023</v>
      </c>
      <c r="K68" s="1014">
        <v>0</v>
      </c>
      <c r="L68" s="1014">
        <v>0</v>
      </c>
      <c r="M68" s="964"/>
      <c r="N68" s="964"/>
      <c r="O68" s="964"/>
      <c r="P68" s="964"/>
      <c r="Q68" s="964"/>
      <c r="R68" s="965"/>
      <c r="S68" s="515"/>
      <c r="T68" s="515"/>
      <c r="U68" s="515"/>
      <c r="V68" s="515"/>
    </row>
    <row r="69" spans="1:22" s="890" customFormat="1" ht="15.75" customHeight="1">
      <c r="A69" s="908" t="s">
        <v>750</v>
      </c>
      <c r="B69" s="1023" t="s">
        <v>918</v>
      </c>
      <c r="C69" s="713">
        <v>4</v>
      </c>
      <c r="D69" s="1271">
        <v>1</v>
      </c>
      <c r="E69" s="713">
        <v>31</v>
      </c>
      <c r="F69" s="966">
        <v>1</v>
      </c>
      <c r="G69" s="713">
        <v>700</v>
      </c>
      <c r="H69" s="978">
        <f t="shared" si="28"/>
        <v>2800</v>
      </c>
      <c r="I69" s="966">
        <f t="shared" si="27"/>
        <v>2046</v>
      </c>
      <c r="J69" s="1014">
        <f t="shared" si="26"/>
        <v>2046</v>
      </c>
      <c r="K69" s="1014">
        <v>0</v>
      </c>
      <c r="L69" s="1014">
        <v>0</v>
      </c>
      <c r="M69" s="964"/>
      <c r="N69" s="964"/>
      <c r="O69" s="964"/>
      <c r="P69" s="964"/>
      <c r="Q69" s="964"/>
      <c r="R69" s="965"/>
      <c r="S69" s="515"/>
      <c r="T69" s="515"/>
      <c r="U69" s="515"/>
      <c r="V69" s="515"/>
    </row>
    <row r="70" spans="1:22" s="890" customFormat="1" ht="15.75" customHeight="1">
      <c r="A70" s="908" t="s">
        <v>755</v>
      </c>
      <c r="B70" s="1023" t="s">
        <v>838</v>
      </c>
      <c r="C70" s="713">
        <v>3</v>
      </c>
      <c r="D70" s="1271">
        <v>1</v>
      </c>
      <c r="E70" s="713">
        <v>21</v>
      </c>
      <c r="F70" s="966">
        <v>1</v>
      </c>
      <c r="G70" s="713">
        <v>2100</v>
      </c>
      <c r="H70" s="978">
        <f>C70*D70*G70</f>
        <v>6300</v>
      </c>
      <c r="I70" s="966">
        <f>C70*E70*F70*16.5</f>
        <v>1039.5</v>
      </c>
      <c r="J70" s="1095">
        <v>600</v>
      </c>
      <c r="K70" s="1014">
        <v>0</v>
      </c>
      <c r="L70" s="1014">
        <v>440</v>
      </c>
      <c r="M70" s="964"/>
      <c r="N70" s="964"/>
      <c r="O70" s="964"/>
      <c r="P70" s="964"/>
      <c r="Q70" s="964"/>
      <c r="R70" s="965"/>
      <c r="S70" s="515"/>
      <c r="T70" s="515"/>
      <c r="U70" s="515"/>
      <c r="V70" s="515"/>
    </row>
    <row r="71" spans="1:22" s="890" customFormat="1" ht="15.75" customHeight="1">
      <c r="A71" s="908" t="s">
        <v>757</v>
      </c>
      <c r="B71" s="1023" t="s">
        <v>890</v>
      </c>
      <c r="C71" s="713">
        <v>3</v>
      </c>
      <c r="D71" s="1271">
        <v>1</v>
      </c>
      <c r="E71" s="713">
        <v>21</v>
      </c>
      <c r="F71" s="966">
        <v>1</v>
      </c>
      <c r="G71" s="713">
        <v>2100</v>
      </c>
      <c r="H71" s="978">
        <f t="shared" si="28"/>
        <v>6300</v>
      </c>
      <c r="I71" s="966">
        <f t="shared" si="27"/>
        <v>1039.5</v>
      </c>
      <c r="J71" s="1095">
        <v>600</v>
      </c>
      <c r="K71" s="1014">
        <v>0</v>
      </c>
      <c r="L71" s="1014">
        <v>440</v>
      </c>
      <c r="M71" s="964"/>
      <c r="N71" s="964"/>
      <c r="O71" s="964"/>
      <c r="P71" s="964"/>
      <c r="Q71" s="964"/>
      <c r="R71" s="965"/>
      <c r="S71" s="515"/>
      <c r="T71" s="515"/>
      <c r="U71" s="515"/>
      <c r="V71" s="515"/>
    </row>
    <row r="72" spans="1:22" s="890" customFormat="1" ht="15.75" customHeight="1">
      <c r="A72" s="908" t="s">
        <v>760</v>
      </c>
      <c r="B72" s="1023" t="s">
        <v>920</v>
      </c>
      <c r="C72" s="713">
        <v>3</v>
      </c>
      <c r="D72" s="1271">
        <v>1</v>
      </c>
      <c r="E72" s="713">
        <v>21</v>
      </c>
      <c r="F72" s="966">
        <v>1</v>
      </c>
      <c r="G72" s="713">
        <v>2100</v>
      </c>
      <c r="H72" s="978">
        <f>C72*D72*G72</f>
        <v>6300</v>
      </c>
      <c r="I72" s="966">
        <f>C72*E72*F72*16.5</f>
        <v>1039.5</v>
      </c>
      <c r="J72" s="1014">
        <f>I72</f>
        <v>1039.5</v>
      </c>
      <c r="K72" s="1014">
        <v>0</v>
      </c>
      <c r="L72" s="1014">
        <v>0</v>
      </c>
      <c r="M72" s="964"/>
      <c r="N72" s="964"/>
      <c r="O72" s="964"/>
      <c r="P72" s="964"/>
      <c r="Q72" s="964"/>
      <c r="R72" s="965"/>
      <c r="S72" s="515"/>
      <c r="T72" s="515"/>
      <c r="U72" s="515"/>
      <c r="V72" s="515"/>
    </row>
    <row r="73" spans="1:22" s="890" customFormat="1" ht="15.75" customHeight="1">
      <c r="A73" s="882">
        <v>2</v>
      </c>
      <c r="B73" s="707" t="s">
        <v>177</v>
      </c>
      <c r="C73" s="708">
        <f>C74+C80</f>
        <v>39</v>
      </c>
      <c r="D73" s="1269"/>
      <c r="E73" s="708">
        <f>E74+E80</f>
        <v>24</v>
      </c>
      <c r="F73" s="977"/>
      <c r="G73" s="708"/>
      <c r="H73" s="977">
        <f>H74+H80</f>
        <v>4290</v>
      </c>
      <c r="I73" s="977">
        <f>I74+I80</f>
        <v>1287</v>
      </c>
      <c r="J73" s="977">
        <f>J74+J80</f>
        <v>1287</v>
      </c>
      <c r="K73" s="977">
        <f t="shared" ref="K73:L73" si="34">K74+K80</f>
        <v>0</v>
      </c>
      <c r="L73" s="977">
        <f t="shared" si="34"/>
        <v>0</v>
      </c>
      <c r="M73" s="964"/>
      <c r="N73" s="964"/>
      <c r="O73" s="964"/>
      <c r="P73" s="964"/>
      <c r="Q73" s="964"/>
      <c r="R73" s="965"/>
      <c r="S73" s="515"/>
      <c r="T73" s="515"/>
      <c r="U73" s="515"/>
      <c r="V73" s="515"/>
    </row>
    <row r="74" spans="1:22" s="890" customFormat="1" ht="15.75" customHeight="1">
      <c r="A74" s="967" t="s">
        <v>1373</v>
      </c>
      <c r="B74" s="921" t="s">
        <v>1374</v>
      </c>
      <c r="C74" s="708">
        <f>SUM(C75:C79)</f>
        <v>20</v>
      </c>
      <c r="D74" s="1269"/>
      <c r="E74" s="708">
        <f>SUM(E75:E79)</f>
        <v>10</v>
      </c>
      <c r="F74" s="977"/>
      <c r="G74" s="708"/>
      <c r="H74" s="977">
        <f>SUM(H75:H79)</f>
        <v>2200</v>
      </c>
      <c r="I74" s="977">
        <f>SUM(I75:I79)</f>
        <v>660</v>
      </c>
      <c r="J74" s="977">
        <f t="shared" ref="J74:L74" si="35">SUM(J75:J79)</f>
        <v>660</v>
      </c>
      <c r="K74" s="977">
        <f t="shared" si="35"/>
        <v>0</v>
      </c>
      <c r="L74" s="977">
        <f t="shared" si="35"/>
        <v>0</v>
      </c>
      <c r="M74" s="975"/>
      <c r="N74" s="975"/>
      <c r="O74" s="975"/>
      <c r="P74" s="975"/>
      <c r="Q74" s="975"/>
      <c r="R74" s="976"/>
      <c r="S74" s="515"/>
      <c r="T74" s="515"/>
      <c r="U74" s="515"/>
      <c r="V74" s="515"/>
    </row>
    <row r="75" spans="1:22" s="890" customFormat="1" ht="15.75" customHeight="1">
      <c r="A75" s="908" t="s">
        <v>155</v>
      </c>
      <c r="B75" s="994" t="s">
        <v>911</v>
      </c>
      <c r="C75" s="713">
        <v>5</v>
      </c>
      <c r="D75" s="1271">
        <v>1</v>
      </c>
      <c r="E75" s="713">
        <v>2</v>
      </c>
      <c r="F75" s="966">
        <v>1</v>
      </c>
      <c r="G75" s="713">
        <v>110</v>
      </c>
      <c r="H75" s="978">
        <f>C75*D75*G75</f>
        <v>550</v>
      </c>
      <c r="I75" s="966">
        <f>C75*E75*F75*16.5</f>
        <v>165</v>
      </c>
      <c r="J75" s="1014">
        <f>I75</f>
        <v>165</v>
      </c>
      <c r="K75" s="1014">
        <v>0</v>
      </c>
      <c r="L75" s="1014">
        <v>0</v>
      </c>
      <c r="M75" s="964"/>
      <c r="N75" s="964"/>
      <c r="O75" s="964"/>
      <c r="P75" s="964"/>
      <c r="Q75" s="964"/>
      <c r="R75" s="965"/>
      <c r="S75" s="515"/>
      <c r="T75" s="515"/>
      <c r="U75" s="515"/>
      <c r="V75" s="515"/>
    </row>
    <row r="76" spans="1:22" s="890" customFormat="1" ht="15.75" customHeight="1">
      <c r="A76" s="908" t="s">
        <v>156</v>
      </c>
      <c r="B76" s="1025" t="s">
        <v>912</v>
      </c>
      <c r="C76" s="713">
        <v>4</v>
      </c>
      <c r="D76" s="1271">
        <v>1</v>
      </c>
      <c r="E76" s="713">
        <v>2</v>
      </c>
      <c r="F76" s="966">
        <v>1</v>
      </c>
      <c r="G76" s="713">
        <v>110</v>
      </c>
      <c r="H76" s="978">
        <f t="shared" ref="H76:H87" si="36">C76*D76*G76</f>
        <v>440</v>
      </c>
      <c r="I76" s="966">
        <f t="shared" ref="I76:I87" si="37">C76*E76*F76*16.5</f>
        <v>132</v>
      </c>
      <c r="J76" s="1014">
        <f t="shared" ref="J76:J87" si="38">I76</f>
        <v>132</v>
      </c>
      <c r="K76" s="1014">
        <v>0</v>
      </c>
      <c r="L76" s="1014">
        <v>0</v>
      </c>
      <c r="M76" s="964"/>
      <c r="N76" s="964"/>
      <c r="O76" s="964"/>
      <c r="P76" s="964"/>
      <c r="Q76" s="964"/>
      <c r="R76" s="965"/>
      <c r="S76" s="515"/>
      <c r="T76" s="515"/>
      <c r="U76" s="515"/>
      <c r="V76" s="515"/>
    </row>
    <row r="77" spans="1:22" s="890" customFormat="1" ht="15.75" customHeight="1">
      <c r="A77" s="908" t="s">
        <v>157</v>
      </c>
      <c r="B77" s="1025" t="s">
        <v>913</v>
      </c>
      <c r="C77" s="713">
        <v>3</v>
      </c>
      <c r="D77" s="1271">
        <v>1</v>
      </c>
      <c r="E77" s="713">
        <v>2</v>
      </c>
      <c r="F77" s="966">
        <v>1</v>
      </c>
      <c r="G77" s="713">
        <v>110</v>
      </c>
      <c r="H77" s="978">
        <f t="shared" si="36"/>
        <v>330</v>
      </c>
      <c r="I77" s="966">
        <f t="shared" si="37"/>
        <v>99</v>
      </c>
      <c r="J77" s="1014">
        <f t="shared" si="38"/>
        <v>99</v>
      </c>
      <c r="K77" s="1014">
        <v>0</v>
      </c>
      <c r="L77" s="1014">
        <v>0</v>
      </c>
      <c r="M77" s="964"/>
      <c r="N77" s="964"/>
      <c r="O77" s="964"/>
      <c r="P77" s="964"/>
      <c r="Q77" s="964"/>
      <c r="R77" s="965"/>
      <c r="S77" s="515"/>
      <c r="T77" s="515"/>
      <c r="U77" s="515"/>
      <c r="V77" s="515"/>
    </row>
    <row r="78" spans="1:22" s="890" customFormat="1" ht="15.75" customHeight="1">
      <c r="A78" s="908" t="s">
        <v>158</v>
      </c>
      <c r="B78" s="918" t="s">
        <v>916</v>
      </c>
      <c r="C78" s="713">
        <v>4</v>
      </c>
      <c r="D78" s="1271">
        <v>1</v>
      </c>
      <c r="E78" s="713">
        <v>2</v>
      </c>
      <c r="F78" s="966">
        <v>1</v>
      </c>
      <c r="G78" s="713">
        <v>110</v>
      </c>
      <c r="H78" s="978">
        <f t="shared" si="36"/>
        <v>440</v>
      </c>
      <c r="I78" s="966">
        <f t="shared" si="37"/>
        <v>132</v>
      </c>
      <c r="J78" s="1014">
        <f t="shared" si="38"/>
        <v>132</v>
      </c>
      <c r="K78" s="1014">
        <v>0</v>
      </c>
      <c r="L78" s="1014">
        <v>0</v>
      </c>
      <c r="M78" s="964"/>
      <c r="N78" s="964"/>
      <c r="O78" s="964"/>
      <c r="P78" s="964"/>
      <c r="Q78" s="964"/>
      <c r="R78" s="965"/>
      <c r="S78" s="515"/>
      <c r="T78" s="515"/>
      <c r="U78" s="515"/>
      <c r="V78" s="515"/>
    </row>
    <row r="79" spans="1:22" s="890" customFormat="1" ht="15.75" customHeight="1">
      <c r="A79" s="908" t="s">
        <v>159</v>
      </c>
      <c r="B79" s="918" t="s">
        <v>918</v>
      </c>
      <c r="C79" s="713">
        <v>4</v>
      </c>
      <c r="D79" s="1271">
        <v>1</v>
      </c>
      <c r="E79" s="713">
        <v>2</v>
      </c>
      <c r="F79" s="966">
        <v>1</v>
      </c>
      <c r="G79" s="713">
        <v>110</v>
      </c>
      <c r="H79" s="978">
        <f t="shared" si="36"/>
        <v>440</v>
      </c>
      <c r="I79" s="966">
        <f t="shared" si="37"/>
        <v>132</v>
      </c>
      <c r="J79" s="1014">
        <f t="shared" si="38"/>
        <v>132</v>
      </c>
      <c r="K79" s="1014">
        <v>0</v>
      </c>
      <c r="L79" s="1014">
        <v>0</v>
      </c>
      <c r="M79" s="964"/>
      <c r="N79" s="964"/>
      <c r="O79" s="964"/>
      <c r="P79" s="964"/>
      <c r="Q79" s="964"/>
      <c r="R79" s="965"/>
      <c r="S79" s="515"/>
      <c r="T79" s="515"/>
      <c r="U79" s="515"/>
      <c r="V79" s="515"/>
    </row>
    <row r="80" spans="1:22" s="890" customFormat="1" ht="15.75" customHeight="1">
      <c r="A80" s="901" t="s">
        <v>1373</v>
      </c>
      <c r="B80" s="918" t="s">
        <v>1375</v>
      </c>
      <c r="C80" s="718">
        <f>SUM(C81:C87)</f>
        <v>19</v>
      </c>
      <c r="D80" s="1270"/>
      <c r="E80" s="718">
        <f>SUM(E81:E87)</f>
        <v>14</v>
      </c>
      <c r="F80" s="978"/>
      <c r="G80" s="718"/>
      <c r="H80" s="979">
        <f>SUM(H81:H87)</f>
        <v>2090</v>
      </c>
      <c r="I80" s="979">
        <f t="shared" ref="I80:L80" si="39">SUM(I81:I87)</f>
        <v>627</v>
      </c>
      <c r="J80" s="979">
        <f>SUM(J81:J87)</f>
        <v>627</v>
      </c>
      <c r="K80" s="979">
        <f t="shared" si="39"/>
        <v>0</v>
      </c>
      <c r="L80" s="979">
        <f t="shared" si="39"/>
        <v>0</v>
      </c>
      <c r="M80" s="964"/>
      <c r="N80" s="964"/>
      <c r="O80" s="964"/>
      <c r="P80" s="964"/>
      <c r="Q80" s="964"/>
      <c r="R80" s="965"/>
      <c r="S80" s="515"/>
      <c r="T80" s="515"/>
      <c r="U80" s="515"/>
      <c r="V80" s="515"/>
    </row>
    <row r="81" spans="1:22" s="890" customFormat="1" ht="15.75" customHeight="1">
      <c r="A81" s="908" t="s">
        <v>160</v>
      </c>
      <c r="B81" s="918" t="s">
        <v>888</v>
      </c>
      <c r="C81" s="713">
        <v>5</v>
      </c>
      <c r="D81" s="1271">
        <v>1</v>
      </c>
      <c r="E81" s="713">
        <v>2</v>
      </c>
      <c r="F81" s="966">
        <v>1</v>
      </c>
      <c r="G81" s="713">
        <v>110</v>
      </c>
      <c r="H81" s="978">
        <f t="shared" si="36"/>
        <v>550</v>
      </c>
      <c r="I81" s="966">
        <f t="shared" si="37"/>
        <v>165</v>
      </c>
      <c r="J81" s="1014">
        <f t="shared" si="38"/>
        <v>165</v>
      </c>
      <c r="K81" s="1014">
        <v>0</v>
      </c>
      <c r="L81" s="1014">
        <v>0</v>
      </c>
      <c r="M81" s="964"/>
      <c r="N81" s="964"/>
      <c r="O81" s="964"/>
      <c r="P81" s="964"/>
      <c r="Q81" s="964"/>
      <c r="R81" s="965"/>
      <c r="S81" s="515"/>
      <c r="T81" s="515"/>
      <c r="U81" s="515"/>
      <c r="V81" s="515"/>
    </row>
    <row r="82" spans="1:22" s="890" customFormat="1" ht="15.75" customHeight="1">
      <c r="A82" s="908" t="s">
        <v>749</v>
      </c>
      <c r="B82" s="918" t="s">
        <v>919</v>
      </c>
      <c r="C82" s="713">
        <v>3</v>
      </c>
      <c r="D82" s="1271">
        <v>1</v>
      </c>
      <c r="E82" s="713">
        <v>2</v>
      </c>
      <c r="F82" s="966">
        <v>1</v>
      </c>
      <c r="G82" s="713">
        <v>110</v>
      </c>
      <c r="H82" s="978">
        <f t="shared" si="36"/>
        <v>330</v>
      </c>
      <c r="I82" s="966">
        <f t="shared" si="37"/>
        <v>99</v>
      </c>
      <c r="J82" s="1014">
        <f t="shared" si="38"/>
        <v>99</v>
      </c>
      <c r="K82" s="1014">
        <v>0</v>
      </c>
      <c r="L82" s="1014">
        <v>0</v>
      </c>
      <c r="M82" s="964"/>
      <c r="N82" s="964"/>
      <c r="O82" s="964"/>
      <c r="P82" s="964"/>
      <c r="Q82" s="964"/>
      <c r="R82" s="965"/>
      <c r="S82" s="515"/>
      <c r="T82" s="515"/>
      <c r="U82" s="515"/>
      <c r="V82" s="515"/>
    </row>
    <row r="83" spans="1:22" s="890" customFormat="1" ht="15.75" customHeight="1">
      <c r="A83" s="908" t="s">
        <v>750</v>
      </c>
      <c r="B83" s="918" t="s">
        <v>921</v>
      </c>
      <c r="C83" s="713">
        <v>2</v>
      </c>
      <c r="D83" s="1271">
        <v>1</v>
      </c>
      <c r="E83" s="713">
        <v>2</v>
      </c>
      <c r="F83" s="966">
        <v>1</v>
      </c>
      <c r="G83" s="713">
        <v>110</v>
      </c>
      <c r="H83" s="978">
        <f t="shared" si="36"/>
        <v>220</v>
      </c>
      <c r="I83" s="966">
        <f t="shared" si="37"/>
        <v>66</v>
      </c>
      <c r="J83" s="1014">
        <f t="shared" si="38"/>
        <v>66</v>
      </c>
      <c r="K83" s="1014">
        <v>0</v>
      </c>
      <c r="L83" s="1014">
        <v>0</v>
      </c>
      <c r="M83" s="964"/>
      <c r="N83" s="964"/>
      <c r="O83" s="964"/>
      <c r="P83" s="964"/>
      <c r="Q83" s="964"/>
      <c r="R83" s="965"/>
      <c r="S83" s="515"/>
      <c r="T83" s="515"/>
      <c r="U83" s="515"/>
      <c r="V83" s="515"/>
    </row>
    <row r="84" spans="1:22" s="890" customFormat="1" ht="15.75" customHeight="1">
      <c r="A84" s="908" t="s">
        <v>752</v>
      </c>
      <c r="B84" s="918" t="s">
        <v>890</v>
      </c>
      <c r="C84" s="713">
        <v>3</v>
      </c>
      <c r="D84" s="1271">
        <v>1</v>
      </c>
      <c r="E84" s="713">
        <v>2</v>
      </c>
      <c r="F84" s="966">
        <v>1</v>
      </c>
      <c r="G84" s="713">
        <v>110</v>
      </c>
      <c r="H84" s="978">
        <f t="shared" si="36"/>
        <v>330</v>
      </c>
      <c r="I84" s="966">
        <f t="shared" si="37"/>
        <v>99</v>
      </c>
      <c r="J84" s="1014">
        <f t="shared" si="38"/>
        <v>99</v>
      </c>
      <c r="K84" s="1014">
        <v>0</v>
      </c>
      <c r="L84" s="1014">
        <v>0</v>
      </c>
      <c r="M84" s="964"/>
      <c r="N84" s="964"/>
      <c r="O84" s="964"/>
      <c r="P84" s="964"/>
      <c r="Q84" s="964"/>
      <c r="R84" s="965"/>
      <c r="S84" s="515"/>
      <c r="T84" s="515"/>
      <c r="U84" s="515"/>
      <c r="V84" s="515"/>
    </row>
    <row r="85" spans="1:22" s="890" customFormat="1" ht="15.75" customHeight="1">
      <c r="A85" s="908" t="s">
        <v>753</v>
      </c>
      <c r="B85" s="918" t="s">
        <v>889</v>
      </c>
      <c r="C85" s="713">
        <v>2</v>
      </c>
      <c r="D85" s="1271">
        <v>1</v>
      </c>
      <c r="E85" s="713">
        <v>2</v>
      </c>
      <c r="F85" s="966">
        <v>1</v>
      </c>
      <c r="G85" s="713">
        <v>110</v>
      </c>
      <c r="H85" s="978">
        <f t="shared" si="36"/>
        <v>220</v>
      </c>
      <c r="I85" s="966">
        <f t="shared" si="37"/>
        <v>66</v>
      </c>
      <c r="J85" s="1014">
        <f t="shared" si="38"/>
        <v>66</v>
      </c>
      <c r="K85" s="1014">
        <v>0</v>
      </c>
      <c r="L85" s="1014">
        <v>0</v>
      </c>
      <c r="M85" s="964"/>
      <c r="N85" s="964"/>
      <c r="O85" s="964"/>
      <c r="P85" s="964"/>
      <c r="Q85" s="964"/>
      <c r="R85" s="965"/>
      <c r="S85" s="515"/>
      <c r="T85" s="515"/>
      <c r="U85" s="515"/>
      <c r="V85" s="515"/>
    </row>
    <row r="86" spans="1:22" s="890" customFormat="1" ht="15.75" customHeight="1">
      <c r="A86" s="908" t="s">
        <v>755</v>
      </c>
      <c r="B86" s="918" t="s">
        <v>920</v>
      </c>
      <c r="C86" s="713">
        <v>2</v>
      </c>
      <c r="D86" s="1271">
        <v>1</v>
      </c>
      <c r="E86" s="713">
        <v>2</v>
      </c>
      <c r="F86" s="966">
        <v>1</v>
      </c>
      <c r="G86" s="713">
        <v>110</v>
      </c>
      <c r="H86" s="978">
        <f t="shared" si="36"/>
        <v>220</v>
      </c>
      <c r="I86" s="966">
        <f t="shared" si="37"/>
        <v>66</v>
      </c>
      <c r="J86" s="1014">
        <f t="shared" si="38"/>
        <v>66</v>
      </c>
      <c r="K86" s="1014">
        <v>0</v>
      </c>
      <c r="L86" s="1014">
        <v>0</v>
      </c>
      <c r="M86" s="964"/>
      <c r="N86" s="964"/>
      <c r="O86" s="964"/>
      <c r="P86" s="964"/>
      <c r="Q86" s="964"/>
      <c r="R86" s="965"/>
      <c r="S86" s="515"/>
      <c r="T86" s="515"/>
      <c r="U86" s="515"/>
      <c r="V86" s="515"/>
    </row>
    <row r="87" spans="1:22" ht="14.5" thickBot="1">
      <c r="A87" s="942" t="s">
        <v>757</v>
      </c>
      <c r="B87" s="947" t="s">
        <v>922</v>
      </c>
      <c r="C87" s="734">
        <v>2</v>
      </c>
      <c r="D87" s="1274">
        <v>1</v>
      </c>
      <c r="E87" s="734">
        <v>2</v>
      </c>
      <c r="F87" s="1002">
        <v>1</v>
      </c>
      <c r="G87" s="734">
        <v>110</v>
      </c>
      <c r="H87" s="1097">
        <f t="shared" si="36"/>
        <v>220</v>
      </c>
      <c r="I87" s="1002">
        <f t="shared" si="37"/>
        <v>66</v>
      </c>
      <c r="J87" s="1096">
        <f t="shared" si="38"/>
        <v>66</v>
      </c>
      <c r="K87" s="1096">
        <v>0</v>
      </c>
      <c r="L87" s="1096">
        <v>0</v>
      </c>
      <c r="M87" s="1026"/>
      <c r="N87" s="1026"/>
      <c r="O87" s="1026"/>
      <c r="P87" s="1026"/>
      <c r="Q87" s="1026"/>
      <c r="R87" s="1027"/>
      <c r="S87" s="501"/>
      <c r="T87" s="501"/>
      <c r="U87" s="501"/>
      <c r="V87" s="501"/>
    </row>
    <row r="88" spans="1:22">
      <c r="A88" s="519"/>
      <c r="B88" s="519"/>
      <c r="C88" s="523"/>
      <c r="D88" s="1275"/>
      <c r="E88" s="523"/>
      <c r="F88" s="523"/>
      <c r="G88" s="523"/>
      <c r="H88" s="523"/>
      <c r="I88" s="520"/>
      <c r="J88" s="520"/>
      <c r="K88" s="520"/>
      <c r="L88" s="520"/>
      <c r="M88" s="520"/>
      <c r="N88" s="520"/>
      <c r="O88" s="520"/>
      <c r="P88" s="520"/>
      <c r="Q88" s="520"/>
      <c r="R88" s="501"/>
      <c r="S88" s="501"/>
      <c r="T88" s="501"/>
      <c r="U88" s="501"/>
      <c r="V88" s="501"/>
    </row>
    <row r="89" spans="1:22" ht="13.5" customHeight="1">
      <c r="A89" s="519"/>
      <c r="B89" s="519"/>
      <c r="C89" s="523"/>
      <c r="D89" s="1275"/>
      <c r="E89" s="523"/>
      <c r="F89" s="523"/>
      <c r="G89" s="523"/>
      <c r="H89" s="523"/>
      <c r="I89" s="520"/>
      <c r="J89" s="520"/>
      <c r="K89" s="520"/>
      <c r="L89" s="520"/>
      <c r="M89" s="520"/>
      <c r="N89" s="520"/>
      <c r="O89" s="1338" t="s">
        <v>1429</v>
      </c>
      <c r="P89" s="1338"/>
      <c r="Q89" s="1338"/>
      <c r="R89" s="1338"/>
      <c r="S89" s="501"/>
      <c r="T89" s="501"/>
      <c r="U89" s="501"/>
      <c r="V89" s="501"/>
    </row>
    <row r="90" spans="1:22">
      <c r="A90" s="519"/>
      <c r="B90" s="519"/>
      <c r="C90" s="521"/>
      <c r="D90" s="1276"/>
      <c r="E90" s="521"/>
      <c r="F90" s="521"/>
      <c r="G90" s="521"/>
      <c r="H90" s="521"/>
      <c r="I90" s="520"/>
      <c r="J90" s="520"/>
      <c r="K90" s="520"/>
      <c r="L90" s="520"/>
      <c r="M90" s="520"/>
      <c r="N90" s="520"/>
      <c r="O90" s="499"/>
      <c r="P90" s="499"/>
      <c r="Q90" s="499"/>
      <c r="R90" s="511"/>
      <c r="S90" s="501"/>
      <c r="T90" s="501"/>
      <c r="U90" s="501"/>
      <c r="V90" s="501"/>
    </row>
    <row r="91" spans="1:22">
      <c r="A91" s="519"/>
      <c r="B91" s="519"/>
      <c r="C91" s="520"/>
      <c r="D91" s="498"/>
      <c r="E91" s="520"/>
      <c r="F91" s="520"/>
      <c r="G91" s="520"/>
      <c r="H91" s="520"/>
      <c r="I91" s="520"/>
      <c r="J91" s="520"/>
      <c r="K91" s="520"/>
      <c r="L91" s="520"/>
      <c r="M91" s="520"/>
      <c r="N91" s="520"/>
      <c r="O91" s="499"/>
      <c r="P91" s="499"/>
      <c r="Q91" s="499"/>
      <c r="R91" s="511"/>
      <c r="S91" s="501"/>
      <c r="T91" s="501"/>
      <c r="U91" s="501"/>
      <c r="V91" s="501"/>
    </row>
    <row r="92" spans="1:22">
      <c r="A92" s="519"/>
      <c r="B92" s="519"/>
      <c r="C92" s="520"/>
      <c r="D92" s="498"/>
      <c r="E92" s="520"/>
      <c r="F92" s="520"/>
      <c r="G92" s="520"/>
      <c r="H92" s="520"/>
      <c r="I92" s="520"/>
      <c r="J92" s="520"/>
      <c r="K92" s="520"/>
      <c r="L92" s="520"/>
      <c r="M92" s="520"/>
      <c r="N92" s="520"/>
      <c r="O92" s="499"/>
      <c r="P92" s="499"/>
      <c r="Q92" s="499"/>
      <c r="R92" s="511"/>
      <c r="S92" s="501"/>
      <c r="T92" s="501"/>
      <c r="U92" s="501"/>
      <c r="V92" s="501"/>
    </row>
    <row r="93" spans="1:22">
      <c r="A93" s="519"/>
      <c r="B93" s="519"/>
      <c r="C93" s="520"/>
      <c r="D93" s="498"/>
      <c r="E93" s="520"/>
      <c r="F93" s="520"/>
      <c r="G93" s="520"/>
      <c r="H93" s="520"/>
      <c r="I93" s="520"/>
      <c r="J93" s="520"/>
      <c r="K93" s="520"/>
      <c r="L93" s="520"/>
      <c r="M93" s="520"/>
      <c r="N93" s="520"/>
      <c r="O93" s="499"/>
      <c r="P93" s="499"/>
      <c r="Q93" s="499"/>
      <c r="R93" s="511"/>
      <c r="S93" s="501"/>
      <c r="T93" s="501"/>
      <c r="U93" s="501"/>
      <c r="V93" s="501"/>
    </row>
    <row r="94" spans="1:22">
      <c r="A94" s="519"/>
      <c r="B94" s="519"/>
      <c r="C94" s="520"/>
      <c r="D94" s="498"/>
      <c r="E94" s="520"/>
      <c r="F94" s="520"/>
      <c r="G94" s="520"/>
      <c r="H94" s="520"/>
      <c r="I94" s="520"/>
      <c r="J94" s="520"/>
      <c r="K94" s="520"/>
      <c r="L94" s="520"/>
      <c r="M94" s="520"/>
      <c r="N94" s="520"/>
      <c r="O94" s="1338" t="s">
        <v>1342</v>
      </c>
      <c r="P94" s="1338"/>
      <c r="Q94" s="1338"/>
      <c r="R94" s="1338"/>
      <c r="S94" s="501"/>
      <c r="T94" s="501"/>
      <c r="U94" s="501"/>
      <c r="V94" s="501"/>
    </row>
    <row r="95" spans="1:22">
      <c r="A95" s="519"/>
      <c r="B95" s="519"/>
      <c r="C95" s="520"/>
      <c r="D95" s="498"/>
      <c r="E95" s="520"/>
      <c r="F95" s="520"/>
      <c r="G95" s="520"/>
      <c r="H95" s="520"/>
      <c r="I95" s="520"/>
      <c r="J95" s="520"/>
      <c r="K95" s="520"/>
      <c r="L95" s="520"/>
      <c r="M95" s="520"/>
      <c r="N95" s="520"/>
      <c r="O95" s="520"/>
      <c r="P95" s="520"/>
      <c r="Q95" s="520"/>
      <c r="R95" s="501"/>
      <c r="S95" s="501"/>
      <c r="T95" s="501"/>
      <c r="U95" s="501"/>
      <c r="V95" s="501"/>
    </row>
    <row r="96" spans="1:22">
      <c r="A96" s="519"/>
      <c r="B96" s="519"/>
      <c r="C96" s="520"/>
      <c r="D96" s="498"/>
      <c r="E96" s="520"/>
      <c r="F96" s="520"/>
      <c r="G96" s="520"/>
      <c r="H96" s="520"/>
      <c r="I96" s="520"/>
      <c r="J96" s="520"/>
      <c r="K96" s="520"/>
      <c r="L96" s="520"/>
      <c r="M96" s="520"/>
      <c r="N96" s="520"/>
      <c r="O96" s="520"/>
      <c r="P96" s="520"/>
      <c r="Q96" s="520"/>
      <c r="R96" s="501"/>
      <c r="S96" s="501"/>
      <c r="T96" s="501"/>
      <c r="U96" s="501"/>
      <c r="V96" s="501"/>
    </row>
    <row r="97" spans="1:22">
      <c r="A97" s="519"/>
      <c r="B97" s="519"/>
      <c r="C97" s="520"/>
      <c r="D97" s="498"/>
      <c r="E97" s="520"/>
      <c r="F97" s="520"/>
      <c r="G97" s="520"/>
      <c r="H97" s="520"/>
      <c r="I97" s="520"/>
      <c r="J97" s="520"/>
      <c r="K97" s="520"/>
      <c r="L97" s="520"/>
      <c r="M97" s="520"/>
      <c r="N97" s="520"/>
      <c r="O97" s="520"/>
      <c r="P97" s="520"/>
      <c r="Q97" s="520"/>
      <c r="R97" s="501"/>
      <c r="S97" s="501"/>
      <c r="T97" s="501"/>
      <c r="U97" s="501"/>
      <c r="V97" s="501"/>
    </row>
    <row r="98" spans="1:22">
      <c r="A98" s="519"/>
      <c r="B98" s="519"/>
      <c r="C98" s="520"/>
      <c r="D98" s="498"/>
      <c r="E98" s="520"/>
      <c r="F98" s="520"/>
      <c r="G98" s="520"/>
      <c r="H98" s="520"/>
      <c r="I98" s="520"/>
      <c r="J98" s="520"/>
      <c r="K98" s="520"/>
      <c r="L98" s="520"/>
      <c r="M98" s="520"/>
      <c r="N98" s="520"/>
      <c r="O98" s="520"/>
      <c r="P98" s="520"/>
      <c r="Q98" s="520"/>
      <c r="R98" s="501"/>
      <c r="S98" s="501"/>
      <c r="T98" s="501"/>
      <c r="U98" s="501"/>
      <c r="V98" s="501"/>
    </row>
    <row r="99" spans="1:22">
      <c r="A99" s="519"/>
      <c r="B99" s="519"/>
      <c r="C99" s="520"/>
      <c r="D99" s="498"/>
      <c r="E99" s="520"/>
      <c r="F99" s="520"/>
      <c r="G99" s="520"/>
      <c r="H99" s="520"/>
      <c r="I99" s="520"/>
      <c r="J99" s="520"/>
      <c r="K99" s="520"/>
      <c r="L99" s="520"/>
      <c r="M99" s="520"/>
      <c r="N99" s="520"/>
      <c r="O99" s="520"/>
      <c r="P99" s="520"/>
      <c r="Q99" s="520"/>
      <c r="R99" s="501"/>
      <c r="S99" s="501"/>
      <c r="T99" s="501"/>
      <c r="U99" s="501"/>
      <c r="V99" s="501"/>
    </row>
    <row r="100" spans="1:22">
      <c r="A100" s="519"/>
      <c r="B100" s="519"/>
      <c r="C100" s="520"/>
      <c r="D100" s="498"/>
      <c r="E100" s="520"/>
      <c r="F100" s="520"/>
      <c r="G100" s="520"/>
      <c r="H100" s="520"/>
      <c r="I100" s="520"/>
      <c r="J100" s="520"/>
      <c r="K100" s="520"/>
      <c r="L100" s="520"/>
      <c r="M100" s="520"/>
      <c r="N100" s="520"/>
      <c r="O100" s="520"/>
      <c r="P100" s="520"/>
      <c r="Q100" s="520"/>
      <c r="R100" s="501"/>
      <c r="S100" s="501"/>
      <c r="T100" s="501"/>
      <c r="U100" s="501"/>
      <c r="V100" s="501"/>
    </row>
    <row r="101" spans="1:22">
      <c r="A101" s="519"/>
      <c r="B101" s="519"/>
      <c r="C101" s="520"/>
      <c r="D101" s="498"/>
      <c r="E101" s="520"/>
      <c r="F101" s="520"/>
      <c r="G101" s="520"/>
      <c r="H101" s="520"/>
      <c r="I101" s="520"/>
      <c r="J101" s="520"/>
      <c r="K101" s="520"/>
      <c r="L101" s="520"/>
      <c r="M101" s="520"/>
      <c r="N101" s="520"/>
      <c r="O101" s="520"/>
      <c r="P101" s="520"/>
      <c r="Q101" s="520"/>
      <c r="R101" s="501"/>
      <c r="S101" s="501"/>
      <c r="T101" s="501"/>
      <c r="U101" s="501"/>
      <c r="V101" s="501"/>
    </row>
    <row r="102" spans="1:22">
      <c r="A102" s="519"/>
      <c r="B102" s="519"/>
      <c r="C102" s="520"/>
      <c r="D102" s="498"/>
      <c r="E102" s="520"/>
      <c r="F102" s="520"/>
      <c r="G102" s="520"/>
      <c r="H102" s="520"/>
      <c r="I102" s="520"/>
      <c r="J102" s="520"/>
      <c r="K102" s="520"/>
      <c r="L102" s="520"/>
      <c r="M102" s="520"/>
      <c r="N102" s="520"/>
      <c r="O102" s="520"/>
      <c r="P102" s="520"/>
      <c r="Q102" s="520"/>
      <c r="R102" s="501"/>
      <c r="S102" s="501"/>
      <c r="T102" s="501"/>
      <c r="U102" s="501"/>
      <c r="V102" s="501"/>
    </row>
    <row r="103" spans="1:22">
      <c r="A103" s="519"/>
      <c r="B103" s="519"/>
      <c r="C103" s="520"/>
      <c r="D103" s="498"/>
      <c r="E103" s="520"/>
      <c r="F103" s="520"/>
      <c r="G103" s="520"/>
      <c r="H103" s="520"/>
      <c r="I103" s="520"/>
      <c r="J103" s="520"/>
      <c r="K103" s="520"/>
      <c r="L103" s="520"/>
      <c r="M103" s="520"/>
      <c r="N103" s="520"/>
      <c r="O103" s="520"/>
      <c r="P103" s="520"/>
      <c r="Q103" s="520"/>
      <c r="R103" s="501"/>
      <c r="S103" s="501"/>
      <c r="T103" s="501"/>
      <c r="U103" s="501"/>
      <c r="V103" s="501"/>
    </row>
    <row r="104" spans="1:22">
      <c r="A104" s="519"/>
      <c r="B104" s="519"/>
      <c r="C104" s="520"/>
      <c r="D104" s="498"/>
      <c r="E104" s="520"/>
      <c r="F104" s="520"/>
      <c r="G104" s="520"/>
      <c r="H104" s="520"/>
      <c r="I104" s="520"/>
      <c r="J104" s="520"/>
      <c r="K104" s="520"/>
      <c r="L104" s="520"/>
      <c r="M104" s="520"/>
      <c r="N104" s="520"/>
      <c r="O104" s="520"/>
      <c r="P104" s="520"/>
      <c r="Q104" s="520"/>
      <c r="R104" s="501"/>
      <c r="S104" s="501"/>
      <c r="T104" s="501"/>
      <c r="U104" s="501"/>
      <c r="V104" s="501"/>
    </row>
    <row r="105" spans="1:22">
      <c r="A105" s="519"/>
      <c r="B105" s="519"/>
      <c r="C105" s="520"/>
      <c r="D105" s="498"/>
      <c r="E105" s="520"/>
      <c r="F105" s="520"/>
      <c r="G105" s="520"/>
      <c r="H105" s="520"/>
      <c r="I105" s="520"/>
      <c r="J105" s="520"/>
      <c r="K105" s="520"/>
      <c r="L105" s="520"/>
      <c r="M105" s="520"/>
      <c r="N105" s="520"/>
      <c r="O105" s="520"/>
      <c r="P105" s="520"/>
      <c r="Q105" s="520"/>
      <c r="R105" s="501"/>
      <c r="S105" s="501"/>
      <c r="T105" s="501"/>
      <c r="U105" s="501"/>
      <c r="V105" s="501"/>
    </row>
    <row r="106" spans="1:22">
      <c r="A106" s="519"/>
      <c r="B106" s="519"/>
      <c r="C106" s="520"/>
      <c r="D106" s="498"/>
      <c r="E106" s="520"/>
      <c r="F106" s="520"/>
      <c r="G106" s="520"/>
      <c r="H106" s="520"/>
      <c r="I106" s="520"/>
      <c r="J106" s="520"/>
      <c r="K106" s="520"/>
      <c r="L106" s="520"/>
      <c r="M106" s="520"/>
      <c r="N106" s="520"/>
      <c r="O106" s="520"/>
      <c r="P106" s="520"/>
      <c r="Q106" s="520"/>
      <c r="R106" s="501"/>
      <c r="S106" s="501"/>
      <c r="T106" s="501"/>
      <c r="U106" s="501"/>
      <c r="V106" s="501"/>
    </row>
    <row r="107" spans="1:22">
      <c r="A107" s="519"/>
      <c r="B107" s="519"/>
      <c r="C107" s="520"/>
      <c r="D107" s="498"/>
      <c r="E107" s="520"/>
      <c r="F107" s="520"/>
      <c r="G107" s="520"/>
      <c r="H107" s="520"/>
      <c r="I107" s="520"/>
      <c r="J107" s="520"/>
      <c r="K107" s="520"/>
      <c r="L107" s="520"/>
      <c r="M107" s="520"/>
      <c r="N107" s="520"/>
      <c r="O107" s="520"/>
      <c r="P107" s="520"/>
      <c r="Q107" s="520"/>
      <c r="R107" s="501"/>
      <c r="S107" s="501"/>
      <c r="T107" s="501"/>
      <c r="U107" s="501"/>
      <c r="V107" s="501"/>
    </row>
    <row r="108" spans="1:22">
      <c r="A108" s="519"/>
      <c r="B108" s="519"/>
      <c r="C108" s="520"/>
      <c r="D108" s="498"/>
      <c r="E108" s="520"/>
      <c r="F108" s="520"/>
      <c r="G108" s="520"/>
      <c r="H108" s="520"/>
      <c r="I108" s="520"/>
      <c r="J108" s="520"/>
      <c r="K108" s="520"/>
      <c r="L108" s="520"/>
      <c r="M108" s="520"/>
      <c r="N108" s="520"/>
      <c r="O108" s="520"/>
      <c r="P108" s="520"/>
      <c r="Q108" s="520"/>
      <c r="R108" s="501"/>
      <c r="S108" s="501"/>
      <c r="T108" s="501"/>
      <c r="U108" s="501"/>
      <c r="V108" s="501"/>
    </row>
    <row r="109" spans="1:22">
      <c r="A109" s="519"/>
      <c r="B109" s="519"/>
      <c r="C109" s="520"/>
      <c r="D109" s="498"/>
      <c r="E109" s="520"/>
      <c r="F109" s="520"/>
      <c r="G109" s="520"/>
      <c r="H109" s="520"/>
      <c r="I109" s="520"/>
      <c r="J109" s="520"/>
      <c r="K109" s="520"/>
      <c r="L109" s="520"/>
      <c r="M109" s="520"/>
      <c r="N109" s="520"/>
      <c r="O109" s="520"/>
      <c r="P109" s="520"/>
      <c r="Q109" s="520"/>
      <c r="R109" s="501"/>
      <c r="S109" s="501"/>
      <c r="T109" s="501"/>
      <c r="U109" s="501"/>
      <c r="V109" s="501"/>
    </row>
    <row r="110" spans="1:22">
      <c r="A110" s="519"/>
      <c r="B110" s="519"/>
      <c r="C110" s="520"/>
      <c r="D110" s="498"/>
      <c r="E110" s="520"/>
      <c r="F110" s="520"/>
      <c r="G110" s="520"/>
      <c r="H110" s="520"/>
      <c r="I110" s="520"/>
      <c r="J110" s="520"/>
      <c r="K110" s="520"/>
      <c r="L110" s="520"/>
      <c r="M110" s="520"/>
      <c r="N110" s="520"/>
      <c r="O110" s="520"/>
      <c r="P110" s="520"/>
      <c r="Q110" s="520"/>
      <c r="R110" s="501"/>
      <c r="S110" s="501"/>
      <c r="T110" s="501"/>
      <c r="U110" s="501"/>
      <c r="V110" s="501"/>
    </row>
    <row r="111" spans="1:22">
      <c r="A111" s="519"/>
      <c r="B111" s="519"/>
      <c r="C111" s="520"/>
      <c r="D111" s="498"/>
      <c r="E111" s="520"/>
      <c r="F111" s="520"/>
      <c r="G111" s="520"/>
      <c r="H111" s="520"/>
      <c r="I111" s="520"/>
      <c r="J111" s="520"/>
      <c r="K111" s="520"/>
      <c r="L111" s="520"/>
      <c r="M111" s="520"/>
      <c r="N111" s="520"/>
      <c r="O111" s="520"/>
      <c r="P111" s="520"/>
      <c r="Q111" s="520"/>
      <c r="R111" s="501"/>
      <c r="S111" s="501"/>
      <c r="T111" s="501"/>
      <c r="U111" s="501"/>
      <c r="V111" s="501"/>
    </row>
    <row r="112" spans="1:22">
      <c r="A112" s="519"/>
      <c r="B112" s="519"/>
      <c r="C112" s="520"/>
      <c r="D112" s="498"/>
      <c r="E112" s="520"/>
      <c r="F112" s="520"/>
      <c r="G112" s="520"/>
      <c r="H112" s="520"/>
      <c r="I112" s="520"/>
      <c r="J112" s="520"/>
      <c r="K112" s="520"/>
      <c r="L112" s="520"/>
    </row>
  </sheetData>
  <mergeCells count="26">
    <mergeCell ref="O7:O8"/>
    <mergeCell ref="P7:P8"/>
    <mergeCell ref="Q7:Q8"/>
    <mergeCell ref="Q1:R1"/>
    <mergeCell ref="A4:R4"/>
    <mergeCell ref="A1:C1"/>
    <mergeCell ref="J1:O1"/>
    <mergeCell ref="A2:C2"/>
    <mergeCell ref="J2:O2"/>
    <mergeCell ref="A3:R3"/>
    <mergeCell ref="O89:R89"/>
    <mergeCell ref="O94:R94"/>
    <mergeCell ref="A5:R5"/>
    <mergeCell ref="A7:A8"/>
    <mergeCell ref="B7:B8"/>
    <mergeCell ref="C7:C8"/>
    <mergeCell ref="D7:D8"/>
    <mergeCell ref="E7:E8"/>
    <mergeCell ref="F7:F8"/>
    <mergeCell ref="G7:G8"/>
    <mergeCell ref="H7:H8"/>
    <mergeCell ref="I7:I8"/>
    <mergeCell ref="R7:R8"/>
    <mergeCell ref="J7:L7"/>
    <mergeCell ref="M7:M8"/>
    <mergeCell ref="N7:N8"/>
  </mergeCells>
  <phoneticPr fontId="60" type="noConversion"/>
  <pageMargins left="0" right="0" top="0" bottom="0" header="0" footer="0"/>
  <pageSetup paperSize="9" scale="8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V116"/>
  <sheetViews>
    <sheetView workbookViewId="0">
      <selection activeCell="D34" sqref="D1:D1048576"/>
    </sheetView>
  </sheetViews>
  <sheetFormatPr defaultColWidth="8.9140625" defaultRowHeight="14"/>
  <cols>
    <col min="1" max="1" width="4.9140625" style="950" customWidth="1"/>
    <col min="2" max="2" width="45" style="950" customWidth="1"/>
    <col min="3" max="3" width="8.4140625" style="951" customWidth="1"/>
    <col min="4" max="4" width="11.58203125" style="1264" customWidth="1"/>
    <col min="5" max="5" width="6.9140625" style="951" customWidth="1"/>
    <col min="6" max="6" width="6.33203125" style="951" customWidth="1"/>
    <col min="7" max="7" width="6" style="951" customWidth="1"/>
    <col min="8" max="8" width="8.4140625" style="951" customWidth="1"/>
    <col min="9" max="9" width="9.33203125" style="951" customWidth="1"/>
    <col min="10" max="10" width="7.6640625" style="951" customWidth="1"/>
    <col min="11" max="11" width="4.4140625" style="951" customWidth="1"/>
    <col min="12" max="12" width="6.6640625" style="951" customWidth="1"/>
    <col min="13" max="13" width="6.9140625" style="951" customWidth="1"/>
    <col min="14" max="14" width="6.6640625" style="951" customWidth="1"/>
    <col min="15" max="15" width="8.08203125" style="951" customWidth="1"/>
    <col min="16" max="16" width="7.08203125" style="951" customWidth="1"/>
    <col min="17" max="17" width="6.08203125" style="951" customWidth="1"/>
    <col min="18" max="18" width="5.9140625" style="869" customWidth="1"/>
    <col min="19" max="16384" width="8.9140625" style="869"/>
  </cols>
  <sheetData>
    <row r="1" spans="1:22" ht="14.25" customHeight="1">
      <c r="A1" s="1355" t="s">
        <v>1411</v>
      </c>
      <c r="B1" s="1355"/>
      <c r="C1" s="1355"/>
      <c r="D1" s="1257"/>
      <c r="E1" s="675"/>
      <c r="F1" s="675"/>
      <c r="G1" s="675"/>
      <c r="H1" s="675"/>
      <c r="I1" s="520"/>
      <c r="J1" s="1338"/>
      <c r="K1" s="1338"/>
      <c r="L1" s="1338"/>
      <c r="M1" s="1338"/>
      <c r="N1" s="1338"/>
      <c r="O1" s="1338"/>
      <c r="P1" s="499"/>
      <c r="Q1" s="1353" t="s">
        <v>123</v>
      </c>
      <c r="R1" s="1353"/>
      <c r="S1" s="501"/>
      <c r="T1" s="501"/>
      <c r="U1" s="501"/>
      <c r="V1" s="501"/>
    </row>
    <row r="2" spans="1:22">
      <c r="A2" s="1339" t="s">
        <v>1366</v>
      </c>
      <c r="B2" s="1339"/>
      <c r="C2" s="1339"/>
      <c r="D2" s="1258"/>
      <c r="E2" s="676"/>
      <c r="F2" s="676"/>
      <c r="G2" s="676"/>
      <c r="H2" s="676"/>
      <c r="I2" s="520"/>
      <c r="J2" s="1338"/>
      <c r="K2" s="1338"/>
      <c r="L2" s="1338"/>
      <c r="M2" s="1338"/>
      <c r="N2" s="1338"/>
      <c r="O2" s="1338"/>
      <c r="P2" s="499"/>
      <c r="Q2" s="499"/>
      <c r="R2" s="499"/>
      <c r="S2" s="501"/>
      <c r="T2" s="501"/>
      <c r="U2" s="501"/>
      <c r="V2" s="501"/>
    </row>
    <row r="3" spans="1:22" ht="30" customHeight="1">
      <c r="A3" s="1340" t="s">
        <v>633</v>
      </c>
      <c r="B3" s="1340"/>
      <c r="C3" s="1340"/>
      <c r="D3" s="1340"/>
      <c r="E3" s="1340"/>
      <c r="F3" s="1340"/>
      <c r="G3" s="1340"/>
      <c r="H3" s="1340"/>
      <c r="I3" s="1340"/>
      <c r="J3" s="1340"/>
      <c r="K3" s="1340"/>
      <c r="L3" s="1340"/>
      <c r="M3" s="1340"/>
      <c r="N3" s="1340"/>
      <c r="O3" s="1340"/>
      <c r="P3" s="1340"/>
      <c r="Q3" s="1340"/>
      <c r="R3" s="1340"/>
      <c r="S3" s="501"/>
      <c r="T3" s="501"/>
      <c r="U3" s="501"/>
      <c r="V3" s="501"/>
    </row>
    <row r="4" spans="1:22" ht="30" customHeight="1">
      <c r="A4" s="1354" t="s">
        <v>634</v>
      </c>
      <c r="B4" s="1354"/>
      <c r="C4" s="1354"/>
      <c r="D4" s="1354"/>
      <c r="E4" s="1354"/>
      <c r="F4" s="1354"/>
      <c r="G4" s="1354"/>
      <c r="H4" s="1354"/>
      <c r="I4" s="1354"/>
      <c r="J4" s="1354"/>
      <c r="K4" s="1354"/>
      <c r="L4" s="1354"/>
      <c r="M4" s="1354"/>
      <c r="N4" s="1354"/>
      <c r="O4" s="1354"/>
      <c r="P4" s="1354"/>
      <c r="Q4" s="1354"/>
      <c r="R4" s="1354"/>
      <c r="S4" s="501"/>
      <c r="T4" s="501"/>
      <c r="U4" s="501"/>
      <c r="V4" s="501"/>
    </row>
    <row r="5" spans="1:22" ht="30" customHeight="1">
      <c r="A5" s="1342" t="s">
        <v>124</v>
      </c>
      <c r="B5" s="1342"/>
      <c r="C5" s="1342"/>
      <c r="D5" s="1342"/>
      <c r="E5" s="1342"/>
      <c r="F5" s="1342"/>
      <c r="G5" s="1342"/>
      <c r="H5" s="1342"/>
      <c r="I5" s="1342"/>
      <c r="J5" s="1342"/>
      <c r="K5" s="1342"/>
      <c r="L5" s="1342"/>
      <c r="M5" s="1342"/>
      <c r="N5" s="1342"/>
      <c r="O5" s="1342"/>
      <c r="P5" s="1342"/>
      <c r="Q5" s="1342"/>
      <c r="R5" s="1342"/>
      <c r="S5" s="501"/>
      <c r="T5" s="501"/>
      <c r="U5" s="501"/>
      <c r="V5" s="501"/>
    </row>
    <row r="6" spans="1:22" ht="14.5" thickBot="1">
      <c r="A6" s="504"/>
      <c r="B6" s="504"/>
      <c r="C6" s="504"/>
      <c r="D6" s="1259"/>
      <c r="E6" s="504"/>
      <c r="F6" s="504"/>
      <c r="G6" s="504"/>
      <c r="H6" s="504"/>
      <c r="I6" s="504"/>
      <c r="J6" s="504"/>
      <c r="K6" s="504"/>
      <c r="L6" s="504"/>
      <c r="M6" s="504"/>
      <c r="N6" s="504"/>
      <c r="O6" s="504" t="s">
        <v>125</v>
      </c>
      <c r="P6" s="504"/>
      <c r="Q6" s="504"/>
      <c r="R6" s="506"/>
      <c r="S6" s="501"/>
      <c r="T6" s="501"/>
      <c r="U6" s="501"/>
      <c r="V6" s="501"/>
    </row>
    <row r="7" spans="1:22" s="872" customFormat="1" ht="122.25" customHeight="1">
      <c r="A7" s="1343" t="s">
        <v>5</v>
      </c>
      <c r="B7" s="1345" t="s">
        <v>126</v>
      </c>
      <c r="C7" s="1345" t="s">
        <v>127</v>
      </c>
      <c r="D7" s="1360" t="s">
        <v>635</v>
      </c>
      <c r="E7" s="1345" t="s">
        <v>128</v>
      </c>
      <c r="F7" s="1345" t="s">
        <v>515</v>
      </c>
      <c r="G7" s="1345" t="s">
        <v>516</v>
      </c>
      <c r="H7" s="1349" t="s">
        <v>339</v>
      </c>
      <c r="I7" s="1345" t="s">
        <v>742</v>
      </c>
      <c r="J7" s="1345" t="s">
        <v>130</v>
      </c>
      <c r="K7" s="1345"/>
      <c r="L7" s="1345"/>
      <c r="M7" s="1345" t="s">
        <v>131</v>
      </c>
      <c r="N7" s="1345" t="s">
        <v>132</v>
      </c>
      <c r="O7" s="1345" t="s">
        <v>133</v>
      </c>
      <c r="P7" s="1345" t="s">
        <v>134</v>
      </c>
      <c r="Q7" s="1345" t="s">
        <v>135</v>
      </c>
      <c r="R7" s="1351" t="s">
        <v>1412</v>
      </c>
      <c r="S7" s="501"/>
      <c r="T7" s="501"/>
      <c r="U7" s="501"/>
      <c r="V7" s="501"/>
    </row>
    <row r="8" spans="1:22" s="872" customFormat="1" ht="102" customHeight="1">
      <c r="A8" s="1344"/>
      <c r="B8" s="1346"/>
      <c r="C8" s="1346"/>
      <c r="D8" s="1361"/>
      <c r="E8" s="1346"/>
      <c r="F8" s="1346"/>
      <c r="G8" s="1346"/>
      <c r="H8" s="1350"/>
      <c r="I8" s="1346"/>
      <c r="J8" s="1009" t="s">
        <v>136</v>
      </c>
      <c r="K8" s="1009" t="s">
        <v>137</v>
      </c>
      <c r="L8" s="1009" t="s">
        <v>138</v>
      </c>
      <c r="M8" s="1346"/>
      <c r="N8" s="1346"/>
      <c r="O8" s="1346"/>
      <c r="P8" s="1346"/>
      <c r="Q8" s="1346"/>
      <c r="R8" s="1352"/>
      <c r="S8" s="501"/>
      <c r="T8" s="501"/>
      <c r="U8" s="501"/>
      <c r="V8" s="501"/>
    </row>
    <row r="9" spans="1:22" s="878" customFormat="1" ht="54.75" customHeight="1">
      <c r="A9" s="874" t="s">
        <v>139</v>
      </c>
      <c r="B9" s="701" t="s">
        <v>140</v>
      </c>
      <c r="C9" s="701" t="s">
        <v>141</v>
      </c>
      <c r="D9" s="1250" t="s">
        <v>142</v>
      </c>
      <c r="E9" s="702" t="s">
        <v>143</v>
      </c>
      <c r="F9" s="702" t="s">
        <v>193</v>
      </c>
      <c r="G9" s="702" t="s">
        <v>144</v>
      </c>
      <c r="H9" s="1010" t="s">
        <v>741</v>
      </c>
      <c r="I9" s="1010" t="s">
        <v>246</v>
      </c>
      <c r="J9" s="702" t="s">
        <v>145</v>
      </c>
      <c r="K9" s="702" t="s">
        <v>146</v>
      </c>
      <c r="L9" s="702" t="s">
        <v>147</v>
      </c>
      <c r="M9" s="702" t="s">
        <v>148</v>
      </c>
      <c r="N9" s="702" t="s">
        <v>149</v>
      </c>
      <c r="O9" s="702" t="s">
        <v>150</v>
      </c>
      <c r="P9" s="702" t="s">
        <v>151</v>
      </c>
      <c r="Q9" s="702" t="s">
        <v>152</v>
      </c>
      <c r="R9" s="876" t="s">
        <v>1372</v>
      </c>
      <c r="S9" s="508"/>
      <c r="T9" s="508"/>
      <c r="U9" s="508"/>
      <c r="V9" s="508"/>
    </row>
    <row r="10" spans="1:22" s="872" customFormat="1" ht="17.25" customHeight="1">
      <c r="A10" s="882" t="s">
        <v>17</v>
      </c>
      <c r="B10" s="707" t="s">
        <v>744</v>
      </c>
      <c r="C10" s="893">
        <f>C11+C53</f>
        <v>195</v>
      </c>
      <c r="D10" s="1099"/>
      <c r="E10" s="893">
        <f>E11+E53</f>
        <v>419</v>
      </c>
      <c r="F10" s="893"/>
      <c r="G10" s="893"/>
      <c r="H10" s="893">
        <f>H11+H53</f>
        <v>115597.5</v>
      </c>
      <c r="I10" s="893">
        <f>I11+I53</f>
        <v>21937.25</v>
      </c>
      <c r="J10" s="893">
        <f t="shared" ref="J10:L10" si="0">J11+J53</f>
        <v>17430.25</v>
      </c>
      <c r="K10" s="893">
        <f t="shared" si="0"/>
        <v>0</v>
      </c>
      <c r="L10" s="893">
        <f t="shared" si="0"/>
        <v>3520</v>
      </c>
      <c r="M10" s="707">
        <v>4520</v>
      </c>
      <c r="N10" s="707">
        <v>3604</v>
      </c>
      <c r="O10" s="707">
        <f>J10-N10</f>
        <v>13826.25</v>
      </c>
      <c r="P10" s="707">
        <v>2414</v>
      </c>
      <c r="Q10" s="707">
        <v>2714</v>
      </c>
      <c r="R10" s="960"/>
      <c r="T10" s="501"/>
      <c r="U10" s="501"/>
      <c r="V10" s="501"/>
    </row>
    <row r="11" spans="1:22" s="872" customFormat="1" ht="33" customHeight="1">
      <c r="A11" s="882" t="s">
        <v>19</v>
      </c>
      <c r="B11" s="707" t="s">
        <v>153</v>
      </c>
      <c r="C11" s="706">
        <f>C12+C45</f>
        <v>119</v>
      </c>
      <c r="D11" s="1021"/>
      <c r="E11" s="706">
        <f>E12+E45</f>
        <v>56</v>
      </c>
      <c r="F11" s="706"/>
      <c r="G11" s="706"/>
      <c r="H11" s="706">
        <f>H12+H45</f>
        <v>12777.5</v>
      </c>
      <c r="I11" s="706">
        <f t="shared" ref="I11:J11" si="1">I12+I45</f>
        <v>3543.05</v>
      </c>
      <c r="J11" s="706">
        <f t="shared" si="1"/>
        <v>3543.05</v>
      </c>
      <c r="K11" s="706">
        <f t="shared" ref="K11" si="2">K12+K45</f>
        <v>0</v>
      </c>
      <c r="L11" s="706">
        <f t="shared" ref="L11" si="3">L12+L45</f>
        <v>0</v>
      </c>
      <c r="M11" s="707"/>
      <c r="N11" s="707"/>
      <c r="O11" s="707"/>
      <c r="P11" s="707"/>
      <c r="Q11" s="707"/>
      <c r="R11" s="960"/>
      <c r="T11" s="501"/>
      <c r="U11" s="501"/>
      <c r="V11" s="501"/>
    </row>
    <row r="12" spans="1:22" s="1016" customFormat="1" ht="17.25" customHeight="1">
      <c r="A12" s="882">
        <v>1</v>
      </c>
      <c r="B12" s="707" t="s">
        <v>20</v>
      </c>
      <c r="C12" s="706">
        <f>C13+C28</f>
        <v>105</v>
      </c>
      <c r="D12" s="1021"/>
      <c r="E12" s="706">
        <f>E13+E28</f>
        <v>50</v>
      </c>
      <c r="F12" s="706"/>
      <c r="G12" s="706"/>
      <c r="H12" s="706">
        <f>H13+H28</f>
        <v>11743.5</v>
      </c>
      <c r="I12" s="706">
        <f t="shared" ref="I12:J12" si="4">I13+I28</f>
        <v>3196.05</v>
      </c>
      <c r="J12" s="706">
        <f t="shared" si="4"/>
        <v>3196.05</v>
      </c>
      <c r="K12" s="706">
        <f t="shared" ref="K12" si="5">K13+K28</f>
        <v>0</v>
      </c>
      <c r="L12" s="706">
        <f t="shared" ref="L12" si="6">L13+L28</f>
        <v>0</v>
      </c>
      <c r="M12" s="707"/>
      <c r="N12" s="707"/>
      <c r="O12" s="707"/>
      <c r="P12" s="707"/>
      <c r="Q12" s="707"/>
      <c r="R12" s="960"/>
      <c r="T12" s="511"/>
      <c r="U12" s="511"/>
      <c r="V12" s="511"/>
    </row>
    <row r="13" spans="1:22" s="887" customFormat="1" ht="15.75" customHeight="1">
      <c r="A13" s="895" t="s">
        <v>154</v>
      </c>
      <c r="B13" s="896" t="s">
        <v>1378</v>
      </c>
      <c r="C13" s="884">
        <f>SUM(C14:C27)</f>
        <v>51</v>
      </c>
      <c r="D13" s="989"/>
      <c r="E13" s="884">
        <f>SUM(E14:E27)</f>
        <v>23</v>
      </c>
      <c r="F13" s="884"/>
      <c r="G13" s="884"/>
      <c r="H13" s="884">
        <f>SUM(H14:H27)</f>
        <v>4969.5</v>
      </c>
      <c r="I13" s="884">
        <f t="shared" ref="I13:J13" si="7">SUM(I14:I27)</f>
        <v>1466.85</v>
      </c>
      <c r="J13" s="884">
        <f t="shared" si="7"/>
        <v>1466.85</v>
      </c>
      <c r="K13" s="884">
        <f t="shared" ref="K13" si="8">SUM(K14:K27)</f>
        <v>0</v>
      </c>
      <c r="L13" s="884">
        <f t="shared" ref="L13" si="9">SUM(L14:L27)</f>
        <v>0</v>
      </c>
      <c r="M13" s="985"/>
      <c r="N13" s="985"/>
      <c r="O13" s="985"/>
      <c r="P13" s="985"/>
      <c r="Q13" s="985"/>
      <c r="R13" s="986"/>
      <c r="T13" s="512"/>
      <c r="U13" s="512"/>
      <c r="V13" s="512"/>
    </row>
    <row r="14" spans="1:22" s="890" customFormat="1" ht="15" customHeight="1">
      <c r="A14" s="901" t="s">
        <v>155</v>
      </c>
      <c r="B14" s="918" t="s">
        <v>745</v>
      </c>
      <c r="C14" s="712">
        <v>5</v>
      </c>
      <c r="D14" s="978">
        <v>1</v>
      </c>
      <c r="E14" s="712">
        <v>3</v>
      </c>
      <c r="F14" s="712">
        <v>1</v>
      </c>
      <c r="G14" s="712">
        <v>146</v>
      </c>
      <c r="H14" s="712">
        <f t="shared" ref="H14:H27" si="10">C14*D14*G14</f>
        <v>730</v>
      </c>
      <c r="I14" s="713">
        <f>C14*E14*F14*16.5</f>
        <v>247.5</v>
      </c>
      <c r="J14" s="1013">
        <f t="shared" ref="J14:J19" si="11">I14</f>
        <v>247.5</v>
      </c>
      <c r="K14" s="1013">
        <v>0</v>
      </c>
      <c r="L14" s="713">
        <v>0</v>
      </c>
      <c r="M14" s="961"/>
      <c r="N14" s="961"/>
      <c r="O14" s="961"/>
      <c r="P14" s="961"/>
      <c r="Q14" s="961"/>
      <c r="R14" s="962"/>
      <c r="T14" s="515"/>
      <c r="U14" s="515"/>
      <c r="V14" s="515"/>
    </row>
    <row r="15" spans="1:22" s="890" customFormat="1" ht="15.75" customHeight="1">
      <c r="A15" s="901" t="s">
        <v>156</v>
      </c>
      <c r="B15" s="918" t="s">
        <v>746</v>
      </c>
      <c r="C15" s="713">
        <v>3</v>
      </c>
      <c r="D15" s="978">
        <v>1.5</v>
      </c>
      <c r="E15" s="713">
        <v>1</v>
      </c>
      <c r="F15" s="713">
        <v>1</v>
      </c>
      <c r="G15" s="712">
        <v>50</v>
      </c>
      <c r="H15" s="712">
        <f t="shared" si="10"/>
        <v>225</v>
      </c>
      <c r="I15" s="713">
        <f t="shared" ref="I15:I27" si="12">C15*E15*F15*16.5</f>
        <v>49.5</v>
      </c>
      <c r="J15" s="1013">
        <f t="shared" si="11"/>
        <v>49.5</v>
      </c>
      <c r="K15" s="1013">
        <v>0</v>
      </c>
      <c r="L15" s="713">
        <v>0</v>
      </c>
      <c r="M15" s="961"/>
      <c r="N15" s="961"/>
      <c r="O15" s="961"/>
      <c r="P15" s="961"/>
      <c r="Q15" s="961"/>
      <c r="R15" s="962"/>
      <c r="T15" s="515"/>
      <c r="U15" s="515"/>
      <c r="V15" s="515"/>
    </row>
    <row r="16" spans="1:22" s="890" customFormat="1" ht="15.75" customHeight="1">
      <c r="A16" s="901" t="s">
        <v>157</v>
      </c>
      <c r="B16" s="918" t="s">
        <v>747</v>
      </c>
      <c r="C16" s="712">
        <v>3</v>
      </c>
      <c r="D16" s="978">
        <v>1.5</v>
      </c>
      <c r="E16" s="712">
        <v>1</v>
      </c>
      <c r="F16" s="712">
        <v>1</v>
      </c>
      <c r="G16" s="712">
        <v>37</v>
      </c>
      <c r="H16" s="712">
        <f t="shared" si="10"/>
        <v>166.5</v>
      </c>
      <c r="I16" s="713">
        <f t="shared" si="12"/>
        <v>49.5</v>
      </c>
      <c r="J16" s="1013">
        <f t="shared" si="11"/>
        <v>49.5</v>
      </c>
      <c r="K16" s="1013">
        <v>0</v>
      </c>
      <c r="L16" s="713">
        <v>0</v>
      </c>
      <c r="M16" s="961"/>
      <c r="N16" s="961"/>
      <c r="O16" s="961"/>
      <c r="P16" s="961"/>
      <c r="Q16" s="961"/>
      <c r="R16" s="962"/>
      <c r="T16" s="515"/>
      <c r="U16" s="515"/>
      <c r="V16" s="515"/>
    </row>
    <row r="17" spans="1:22" s="890" customFormat="1" ht="15.75" customHeight="1">
      <c r="A17" s="901" t="s">
        <v>158</v>
      </c>
      <c r="B17" s="918" t="s">
        <v>748</v>
      </c>
      <c r="C17" s="712">
        <v>3</v>
      </c>
      <c r="D17" s="978">
        <v>1.5</v>
      </c>
      <c r="E17" s="712">
        <v>1</v>
      </c>
      <c r="F17" s="712">
        <v>1</v>
      </c>
      <c r="G17" s="712">
        <v>37</v>
      </c>
      <c r="H17" s="712">
        <f t="shared" si="10"/>
        <v>166.5</v>
      </c>
      <c r="I17" s="713">
        <f t="shared" si="12"/>
        <v>49.5</v>
      </c>
      <c r="J17" s="1013">
        <f t="shared" si="11"/>
        <v>49.5</v>
      </c>
      <c r="K17" s="1013">
        <v>0</v>
      </c>
      <c r="L17" s="713">
        <v>0</v>
      </c>
      <c r="M17" s="961"/>
      <c r="N17" s="961"/>
      <c r="O17" s="961"/>
      <c r="P17" s="961"/>
      <c r="Q17" s="961"/>
      <c r="R17" s="962"/>
      <c r="T17" s="515"/>
      <c r="U17" s="515"/>
      <c r="V17" s="515"/>
    </row>
    <row r="18" spans="1:22" s="890" customFormat="1" ht="15.75" customHeight="1">
      <c r="A18" s="901" t="s">
        <v>159</v>
      </c>
      <c r="B18" s="918" t="s">
        <v>1379</v>
      </c>
      <c r="C18" s="712">
        <v>4</v>
      </c>
      <c r="D18" s="978">
        <v>1</v>
      </c>
      <c r="E18" s="712">
        <v>1</v>
      </c>
      <c r="F18" s="712">
        <v>1</v>
      </c>
      <c r="G18" s="712">
        <v>69</v>
      </c>
      <c r="H18" s="712">
        <f t="shared" si="10"/>
        <v>276</v>
      </c>
      <c r="I18" s="713">
        <f t="shared" si="12"/>
        <v>66</v>
      </c>
      <c r="J18" s="1013">
        <f t="shared" si="11"/>
        <v>66</v>
      </c>
      <c r="K18" s="1013">
        <v>0</v>
      </c>
      <c r="L18" s="713">
        <v>0</v>
      </c>
      <c r="M18" s="961"/>
      <c r="N18" s="961"/>
      <c r="O18" s="961"/>
      <c r="P18" s="961"/>
      <c r="Q18" s="961"/>
      <c r="R18" s="962"/>
      <c r="T18" s="515"/>
      <c r="U18" s="515"/>
      <c r="V18" s="515"/>
    </row>
    <row r="19" spans="1:22" s="890" customFormat="1" ht="15.75" customHeight="1">
      <c r="A19" s="901" t="s">
        <v>160</v>
      </c>
      <c r="B19" s="918" t="s">
        <v>754</v>
      </c>
      <c r="C19" s="712">
        <v>2</v>
      </c>
      <c r="D19" s="978">
        <v>1</v>
      </c>
      <c r="E19" s="712">
        <v>3</v>
      </c>
      <c r="F19" s="712">
        <v>1</v>
      </c>
      <c r="G19" s="712">
        <v>146</v>
      </c>
      <c r="H19" s="712">
        <f t="shared" si="10"/>
        <v>292</v>
      </c>
      <c r="I19" s="713">
        <f t="shared" si="12"/>
        <v>99</v>
      </c>
      <c r="J19" s="1013">
        <f t="shared" si="11"/>
        <v>99</v>
      </c>
      <c r="K19" s="1013">
        <v>0</v>
      </c>
      <c r="L19" s="713">
        <v>0</v>
      </c>
      <c r="M19" s="961"/>
      <c r="N19" s="961"/>
      <c r="O19" s="961"/>
      <c r="P19" s="961"/>
      <c r="Q19" s="961"/>
      <c r="R19" s="962"/>
      <c r="S19" s="515"/>
      <c r="T19" s="515"/>
      <c r="U19" s="515"/>
      <c r="V19" s="515"/>
    </row>
    <row r="20" spans="1:22" s="890" customFormat="1" ht="15.75" customHeight="1">
      <c r="A20" s="901" t="s">
        <v>749</v>
      </c>
      <c r="B20" s="918" t="s">
        <v>756</v>
      </c>
      <c r="C20" s="712">
        <v>4</v>
      </c>
      <c r="D20" s="978">
        <v>1.5</v>
      </c>
      <c r="E20" s="712">
        <v>1</v>
      </c>
      <c r="F20" s="712">
        <v>1</v>
      </c>
      <c r="G20" s="712">
        <v>40</v>
      </c>
      <c r="H20" s="712">
        <f t="shared" si="10"/>
        <v>240</v>
      </c>
      <c r="I20" s="713">
        <f t="shared" si="12"/>
        <v>66</v>
      </c>
      <c r="J20" s="713">
        <f t="shared" ref="J20:J27" si="13">C20*E20*F20*16.5</f>
        <v>66</v>
      </c>
      <c r="K20" s="1013">
        <v>0</v>
      </c>
      <c r="L20" s="713">
        <v>0</v>
      </c>
      <c r="M20" s="961"/>
      <c r="N20" s="961"/>
      <c r="O20" s="961"/>
      <c r="P20" s="961"/>
      <c r="Q20" s="961"/>
      <c r="R20" s="962"/>
      <c r="S20" s="515"/>
      <c r="T20" s="515"/>
      <c r="U20" s="515"/>
      <c r="V20" s="515"/>
    </row>
    <row r="21" spans="1:22" s="890" customFormat="1" ht="15.75" customHeight="1">
      <c r="A21" s="908" t="s">
        <v>750</v>
      </c>
      <c r="B21" s="918" t="s">
        <v>765</v>
      </c>
      <c r="C21" s="712">
        <v>5</v>
      </c>
      <c r="D21" s="978">
        <v>1</v>
      </c>
      <c r="E21" s="712">
        <v>3</v>
      </c>
      <c r="F21" s="712">
        <v>1</v>
      </c>
      <c r="G21" s="712">
        <v>146</v>
      </c>
      <c r="H21" s="712">
        <f t="shared" si="10"/>
        <v>730</v>
      </c>
      <c r="I21" s="713">
        <f t="shared" si="12"/>
        <v>247.5</v>
      </c>
      <c r="J21" s="713">
        <f t="shared" si="13"/>
        <v>247.5</v>
      </c>
      <c r="K21" s="1013">
        <v>0</v>
      </c>
      <c r="L21" s="713">
        <v>0</v>
      </c>
      <c r="M21" s="961"/>
      <c r="N21" s="961"/>
      <c r="O21" s="961"/>
      <c r="P21" s="961"/>
      <c r="Q21" s="961"/>
      <c r="R21" s="962"/>
      <c r="S21" s="515"/>
      <c r="T21" s="515"/>
      <c r="U21" s="515"/>
      <c r="V21" s="515"/>
    </row>
    <row r="22" spans="1:22" s="890" customFormat="1" ht="15.75" customHeight="1">
      <c r="A22" s="908" t="s">
        <v>752</v>
      </c>
      <c r="B22" s="918" t="s">
        <v>769</v>
      </c>
      <c r="C22" s="713">
        <v>3</v>
      </c>
      <c r="D22" s="978">
        <v>1</v>
      </c>
      <c r="E22" s="713">
        <v>1</v>
      </c>
      <c r="F22" s="712">
        <v>1.3</v>
      </c>
      <c r="G22" s="712">
        <v>77</v>
      </c>
      <c r="H22" s="712">
        <f t="shared" si="10"/>
        <v>231</v>
      </c>
      <c r="I22" s="713">
        <f t="shared" si="12"/>
        <v>64.350000000000009</v>
      </c>
      <c r="J22" s="713">
        <f t="shared" si="13"/>
        <v>64.350000000000009</v>
      </c>
      <c r="K22" s="1013">
        <v>0</v>
      </c>
      <c r="L22" s="713">
        <v>0</v>
      </c>
      <c r="M22" s="961"/>
      <c r="N22" s="961"/>
      <c r="O22" s="961"/>
      <c r="P22" s="961"/>
      <c r="Q22" s="961"/>
      <c r="R22" s="962"/>
      <c r="S22" s="515"/>
      <c r="T22" s="515"/>
      <c r="U22" s="515"/>
      <c r="V22" s="515"/>
    </row>
    <row r="23" spans="1:22" s="890" customFormat="1" ht="15.75" customHeight="1">
      <c r="A23" s="908" t="s">
        <v>753</v>
      </c>
      <c r="B23" s="914" t="s">
        <v>773</v>
      </c>
      <c r="C23" s="713">
        <v>4</v>
      </c>
      <c r="D23" s="978">
        <v>1</v>
      </c>
      <c r="E23" s="713">
        <v>1</v>
      </c>
      <c r="F23" s="712">
        <v>1</v>
      </c>
      <c r="G23" s="712">
        <v>69</v>
      </c>
      <c r="H23" s="712">
        <f t="shared" si="10"/>
        <v>276</v>
      </c>
      <c r="I23" s="713">
        <f t="shared" si="12"/>
        <v>66</v>
      </c>
      <c r="J23" s="713">
        <f t="shared" si="13"/>
        <v>66</v>
      </c>
      <c r="K23" s="1013">
        <v>0</v>
      </c>
      <c r="L23" s="713">
        <v>0</v>
      </c>
      <c r="M23" s="961"/>
      <c r="N23" s="961"/>
      <c r="O23" s="961"/>
      <c r="P23" s="961"/>
      <c r="Q23" s="961"/>
      <c r="R23" s="962"/>
      <c r="S23" s="515"/>
      <c r="T23" s="515"/>
      <c r="U23" s="515"/>
      <c r="V23" s="515"/>
    </row>
    <row r="24" spans="1:22" s="890" customFormat="1" ht="15.75" customHeight="1">
      <c r="A24" s="908" t="s">
        <v>755</v>
      </c>
      <c r="B24" s="914" t="s">
        <v>773</v>
      </c>
      <c r="C24" s="713">
        <v>3</v>
      </c>
      <c r="D24" s="1260">
        <v>1.5</v>
      </c>
      <c r="E24" s="713">
        <v>1</v>
      </c>
      <c r="F24" s="712">
        <v>1</v>
      </c>
      <c r="G24" s="712">
        <v>37</v>
      </c>
      <c r="H24" s="712">
        <f t="shared" si="10"/>
        <v>166.5</v>
      </c>
      <c r="I24" s="713">
        <f t="shared" si="12"/>
        <v>49.5</v>
      </c>
      <c r="J24" s="713">
        <f t="shared" si="13"/>
        <v>49.5</v>
      </c>
      <c r="K24" s="1013">
        <v>0</v>
      </c>
      <c r="L24" s="713">
        <v>0</v>
      </c>
      <c r="M24" s="961"/>
      <c r="N24" s="961"/>
      <c r="O24" s="961"/>
      <c r="P24" s="961"/>
      <c r="Q24" s="961"/>
      <c r="R24" s="962"/>
      <c r="S24" s="515"/>
      <c r="T24" s="515"/>
      <c r="U24" s="515"/>
      <c r="V24" s="515"/>
    </row>
    <row r="25" spans="1:22" s="890" customFormat="1" ht="15.75" customHeight="1">
      <c r="A25" s="908" t="s">
        <v>757</v>
      </c>
      <c r="B25" s="914" t="s">
        <v>777</v>
      </c>
      <c r="C25" s="713">
        <v>3</v>
      </c>
      <c r="D25" s="978">
        <v>1</v>
      </c>
      <c r="E25" s="713">
        <v>1</v>
      </c>
      <c r="F25" s="712">
        <v>1</v>
      </c>
      <c r="G25" s="712">
        <v>69</v>
      </c>
      <c r="H25" s="712">
        <f t="shared" si="10"/>
        <v>207</v>
      </c>
      <c r="I25" s="713">
        <f t="shared" si="12"/>
        <v>49.5</v>
      </c>
      <c r="J25" s="713">
        <f t="shared" si="13"/>
        <v>49.5</v>
      </c>
      <c r="K25" s="1013">
        <v>0</v>
      </c>
      <c r="L25" s="713">
        <v>0</v>
      </c>
      <c r="M25" s="961"/>
      <c r="N25" s="961"/>
      <c r="O25" s="961"/>
      <c r="P25" s="961"/>
      <c r="Q25" s="961"/>
      <c r="R25" s="962"/>
      <c r="S25" s="515"/>
      <c r="T25" s="515"/>
      <c r="U25" s="515"/>
      <c r="V25" s="515"/>
    </row>
    <row r="26" spans="1:22" s="890" customFormat="1" ht="15.75" customHeight="1">
      <c r="A26" s="908" t="s">
        <v>758</v>
      </c>
      <c r="B26" s="918" t="s">
        <v>783</v>
      </c>
      <c r="C26" s="713">
        <v>4</v>
      </c>
      <c r="D26" s="978">
        <v>1</v>
      </c>
      <c r="E26" s="713">
        <v>3</v>
      </c>
      <c r="F26" s="712">
        <v>1</v>
      </c>
      <c r="G26" s="712">
        <v>146</v>
      </c>
      <c r="H26" s="712">
        <f t="shared" si="10"/>
        <v>584</v>
      </c>
      <c r="I26" s="713">
        <f t="shared" si="12"/>
        <v>198</v>
      </c>
      <c r="J26" s="713">
        <f t="shared" si="13"/>
        <v>198</v>
      </c>
      <c r="K26" s="1013">
        <v>0</v>
      </c>
      <c r="L26" s="713">
        <v>0</v>
      </c>
      <c r="M26" s="961"/>
      <c r="N26" s="961"/>
      <c r="O26" s="961"/>
      <c r="P26" s="961"/>
      <c r="Q26" s="961"/>
      <c r="R26" s="962"/>
      <c r="S26" s="515"/>
      <c r="T26" s="515"/>
      <c r="U26" s="515"/>
      <c r="V26" s="515"/>
    </row>
    <row r="27" spans="1:22" s="890" customFormat="1" ht="15.75" customHeight="1">
      <c r="A27" s="908" t="s">
        <v>760</v>
      </c>
      <c r="B27" s="902" t="s">
        <v>1380</v>
      </c>
      <c r="C27" s="712">
        <v>5</v>
      </c>
      <c r="D27" s="978">
        <v>1.4</v>
      </c>
      <c r="E27" s="712">
        <v>2</v>
      </c>
      <c r="F27" s="712">
        <v>1</v>
      </c>
      <c r="G27" s="712">
        <v>97</v>
      </c>
      <c r="H27" s="712">
        <f t="shared" si="10"/>
        <v>679</v>
      </c>
      <c r="I27" s="713">
        <f t="shared" si="12"/>
        <v>165</v>
      </c>
      <c r="J27" s="1013">
        <f t="shared" si="13"/>
        <v>165</v>
      </c>
      <c r="K27" s="1013">
        <v>0</v>
      </c>
      <c r="L27" s="1013">
        <v>0</v>
      </c>
      <c r="M27" s="964"/>
      <c r="N27" s="964"/>
      <c r="O27" s="964"/>
      <c r="P27" s="964"/>
      <c r="Q27" s="964"/>
      <c r="R27" s="965"/>
      <c r="S27" s="515"/>
      <c r="T27" s="515"/>
      <c r="U27" s="515"/>
      <c r="V27" s="515"/>
    </row>
    <row r="28" spans="1:22" s="887" customFormat="1" ht="15.75" customHeight="1">
      <c r="A28" s="895" t="s">
        <v>161</v>
      </c>
      <c r="B28" s="896" t="s">
        <v>1381</v>
      </c>
      <c r="C28" s="884">
        <f>SUM(C29:C44)</f>
        <v>54</v>
      </c>
      <c r="D28" s="989"/>
      <c r="E28" s="884">
        <f>SUM(E29:E44)</f>
        <v>27</v>
      </c>
      <c r="F28" s="884"/>
      <c r="G28" s="884"/>
      <c r="H28" s="884">
        <f>SUM(H29:H44)</f>
        <v>6774</v>
      </c>
      <c r="I28" s="884">
        <f>SUM(I29:I44)</f>
        <v>1729.2</v>
      </c>
      <c r="J28" s="884">
        <f>SUM(J29:J44)</f>
        <v>1729.2</v>
      </c>
      <c r="K28" s="884">
        <v>0</v>
      </c>
      <c r="L28" s="884">
        <v>0</v>
      </c>
      <c r="M28" s="985"/>
      <c r="N28" s="985"/>
      <c r="O28" s="985"/>
      <c r="P28" s="985"/>
      <c r="Q28" s="985"/>
      <c r="R28" s="986"/>
      <c r="S28" s="512"/>
      <c r="T28" s="512"/>
      <c r="U28" s="512"/>
      <c r="V28" s="512"/>
    </row>
    <row r="29" spans="1:22" s="890" customFormat="1" ht="15.75" customHeight="1">
      <c r="A29" s="901" t="s">
        <v>163</v>
      </c>
      <c r="B29" s="918" t="s">
        <v>746</v>
      </c>
      <c r="C29" s="713">
        <v>4</v>
      </c>
      <c r="D29" s="978">
        <v>1</v>
      </c>
      <c r="E29" s="713">
        <v>1</v>
      </c>
      <c r="F29" s="713">
        <v>1.3</v>
      </c>
      <c r="G29" s="713">
        <v>84</v>
      </c>
      <c r="H29" s="712">
        <f t="shared" ref="H29:H32" si="14">C29*D29*G29</f>
        <v>336</v>
      </c>
      <c r="I29" s="713">
        <f>C29*E29*F29*16.5</f>
        <v>85.8</v>
      </c>
      <c r="J29" s="1013">
        <f t="shared" ref="J29:J32" si="15">I29</f>
        <v>85.8</v>
      </c>
      <c r="K29" s="1013">
        <v>0</v>
      </c>
      <c r="L29" s="713">
        <v>0</v>
      </c>
      <c r="M29" s="961"/>
      <c r="N29" s="961"/>
      <c r="O29" s="961"/>
      <c r="P29" s="961"/>
      <c r="Q29" s="961"/>
      <c r="R29" s="962"/>
      <c r="S29" s="515"/>
      <c r="T29" s="515"/>
      <c r="U29" s="515"/>
      <c r="V29" s="515"/>
    </row>
    <row r="30" spans="1:22" s="890" customFormat="1" ht="15.75" customHeight="1">
      <c r="A30" s="901" t="s">
        <v>164</v>
      </c>
      <c r="B30" s="918" t="s">
        <v>747</v>
      </c>
      <c r="C30" s="712">
        <v>3</v>
      </c>
      <c r="D30" s="978">
        <v>1</v>
      </c>
      <c r="E30" s="712">
        <v>1</v>
      </c>
      <c r="F30" s="712">
        <v>1.3</v>
      </c>
      <c r="G30" s="712">
        <v>77</v>
      </c>
      <c r="H30" s="712">
        <f t="shared" si="14"/>
        <v>231</v>
      </c>
      <c r="I30" s="713">
        <f t="shared" ref="I30:I44" si="16">C30*E30*F30*16.5</f>
        <v>64.350000000000009</v>
      </c>
      <c r="J30" s="1013">
        <f t="shared" si="15"/>
        <v>64.350000000000009</v>
      </c>
      <c r="K30" s="1013">
        <v>0</v>
      </c>
      <c r="L30" s="713">
        <v>0</v>
      </c>
      <c r="M30" s="961"/>
      <c r="N30" s="961"/>
      <c r="O30" s="961"/>
      <c r="P30" s="961"/>
      <c r="Q30" s="961"/>
      <c r="R30" s="962"/>
      <c r="S30" s="515"/>
      <c r="T30" s="515"/>
      <c r="U30" s="515"/>
      <c r="V30" s="515"/>
    </row>
    <row r="31" spans="1:22" s="890" customFormat="1" ht="15.75" customHeight="1">
      <c r="A31" s="901" t="s">
        <v>165</v>
      </c>
      <c r="B31" s="918" t="s">
        <v>748</v>
      </c>
      <c r="C31" s="712">
        <v>3</v>
      </c>
      <c r="D31" s="978">
        <v>1</v>
      </c>
      <c r="E31" s="712">
        <v>1</v>
      </c>
      <c r="F31" s="712">
        <v>1.3</v>
      </c>
      <c r="G31" s="712">
        <v>77</v>
      </c>
      <c r="H31" s="712">
        <f t="shared" si="14"/>
        <v>231</v>
      </c>
      <c r="I31" s="713">
        <f t="shared" si="16"/>
        <v>64.350000000000009</v>
      </c>
      <c r="J31" s="1013">
        <f t="shared" si="15"/>
        <v>64.350000000000009</v>
      </c>
      <c r="K31" s="1013">
        <v>0</v>
      </c>
      <c r="L31" s="713">
        <v>0</v>
      </c>
      <c r="M31" s="961"/>
      <c r="N31" s="961"/>
      <c r="O31" s="961"/>
      <c r="P31" s="961"/>
      <c r="Q31" s="961"/>
      <c r="R31" s="962"/>
      <c r="S31" s="515"/>
      <c r="T31" s="515"/>
      <c r="U31" s="515"/>
      <c r="V31" s="515"/>
    </row>
    <row r="32" spans="1:22" s="890" customFormat="1" ht="15.75" customHeight="1">
      <c r="A32" s="901" t="s">
        <v>166</v>
      </c>
      <c r="B32" s="918" t="s">
        <v>751</v>
      </c>
      <c r="C32" s="712">
        <v>3</v>
      </c>
      <c r="D32" s="1260">
        <v>1.5</v>
      </c>
      <c r="E32" s="712">
        <v>1</v>
      </c>
      <c r="F32" s="712">
        <v>1</v>
      </c>
      <c r="G32" s="712">
        <v>50</v>
      </c>
      <c r="H32" s="712">
        <f t="shared" si="14"/>
        <v>225</v>
      </c>
      <c r="I32" s="713">
        <f t="shared" si="16"/>
        <v>49.5</v>
      </c>
      <c r="J32" s="1013">
        <f t="shared" si="15"/>
        <v>49.5</v>
      </c>
      <c r="K32" s="1013">
        <v>0</v>
      </c>
      <c r="L32" s="713">
        <v>0</v>
      </c>
      <c r="M32" s="961"/>
      <c r="N32" s="961"/>
      <c r="O32" s="961"/>
      <c r="P32" s="961"/>
      <c r="Q32" s="961"/>
      <c r="R32" s="962"/>
      <c r="S32" s="515"/>
      <c r="T32" s="515"/>
      <c r="U32" s="515"/>
      <c r="V32" s="515"/>
    </row>
    <row r="33" spans="1:22" s="890" customFormat="1" ht="15.75" customHeight="1">
      <c r="A33" s="901" t="s">
        <v>168</v>
      </c>
      <c r="B33" s="918" t="s">
        <v>756</v>
      </c>
      <c r="C33" s="712">
        <v>5</v>
      </c>
      <c r="D33" s="978">
        <v>1</v>
      </c>
      <c r="E33" s="712">
        <v>3</v>
      </c>
      <c r="F33" s="712">
        <v>1</v>
      </c>
      <c r="G33" s="712">
        <v>146</v>
      </c>
      <c r="H33" s="712">
        <f>C33*D33*G33</f>
        <v>730</v>
      </c>
      <c r="I33" s="713">
        <f t="shared" si="16"/>
        <v>247.5</v>
      </c>
      <c r="J33" s="713">
        <f>C33*E33*F33*16.5</f>
        <v>247.5</v>
      </c>
      <c r="K33" s="1013">
        <v>0</v>
      </c>
      <c r="L33" s="713">
        <v>0</v>
      </c>
      <c r="M33" s="961"/>
      <c r="N33" s="961"/>
      <c r="O33" s="961"/>
      <c r="P33" s="961"/>
      <c r="Q33" s="961"/>
      <c r="R33" s="962"/>
      <c r="S33" s="515"/>
      <c r="T33" s="515"/>
      <c r="U33" s="515"/>
      <c r="V33" s="515"/>
    </row>
    <row r="34" spans="1:22" s="890" customFormat="1" ht="15.75" customHeight="1">
      <c r="A34" s="901" t="s">
        <v>978</v>
      </c>
      <c r="B34" s="918" t="s">
        <v>759</v>
      </c>
      <c r="C34" s="713">
        <v>3</v>
      </c>
      <c r="D34" s="966">
        <v>1</v>
      </c>
      <c r="E34" s="713">
        <v>1</v>
      </c>
      <c r="F34" s="713">
        <v>1</v>
      </c>
      <c r="G34" s="713">
        <v>69</v>
      </c>
      <c r="H34" s="712">
        <f t="shared" ref="H34:H36" si="17">C34*D34*G34</f>
        <v>207</v>
      </c>
      <c r="I34" s="713">
        <f t="shared" si="16"/>
        <v>49.5</v>
      </c>
      <c r="J34" s="713">
        <f>C34*E35*F35*16.5</f>
        <v>49.5</v>
      </c>
      <c r="K34" s="1013">
        <v>0</v>
      </c>
      <c r="L34" s="713">
        <v>0</v>
      </c>
      <c r="M34" s="961"/>
      <c r="N34" s="961"/>
      <c r="O34" s="961"/>
      <c r="P34" s="961"/>
      <c r="Q34" s="961"/>
      <c r="R34" s="962"/>
      <c r="S34" s="515"/>
      <c r="T34" s="515"/>
      <c r="U34" s="515"/>
      <c r="V34" s="515"/>
    </row>
    <row r="35" spans="1:22" s="890" customFormat="1" ht="15.75" customHeight="1">
      <c r="A35" s="908" t="s">
        <v>980</v>
      </c>
      <c r="B35" s="918" t="s">
        <v>761</v>
      </c>
      <c r="C35" s="712">
        <v>5</v>
      </c>
      <c r="D35" s="978">
        <v>1</v>
      </c>
      <c r="E35" s="712">
        <v>1</v>
      </c>
      <c r="F35" s="712">
        <v>1</v>
      </c>
      <c r="G35" s="712">
        <v>69</v>
      </c>
      <c r="H35" s="712">
        <f t="shared" si="17"/>
        <v>345</v>
      </c>
      <c r="I35" s="713">
        <f t="shared" si="16"/>
        <v>82.5</v>
      </c>
      <c r="J35" s="713">
        <f>C35*E35*F35*16.5</f>
        <v>82.5</v>
      </c>
      <c r="K35" s="1013">
        <v>0</v>
      </c>
      <c r="L35" s="713">
        <v>0</v>
      </c>
      <c r="M35" s="961"/>
      <c r="N35" s="961"/>
      <c r="O35" s="961"/>
      <c r="P35" s="961"/>
      <c r="Q35" s="961"/>
      <c r="R35" s="962"/>
      <c r="S35" s="515"/>
      <c r="T35" s="515"/>
      <c r="U35" s="515"/>
      <c r="V35" s="515"/>
    </row>
    <row r="36" spans="1:22" s="890" customFormat="1" ht="15.75" customHeight="1">
      <c r="A36" s="908" t="s">
        <v>981</v>
      </c>
      <c r="B36" s="918" t="s">
        <v>763</v>
      </c>
      <c r="C36" s="712">
        <v>3</v>
      </c>
      <c r="D36" s="978">
        <v>1</v>
      </c>
      <c r="E36" s="712">
        <v>9</v>
      </c>
      <c r="F36" s="712">
        <v>1.3</v>
      </c>
      <c r="G36" s="712">
        <v>900</v>
      </c>
      <c r="H36" s="712">
        <f t="shared" si="17"/>
        <v>2700</v>
      </c>
      <c r="I36" s="713">
        <f t="shared" si="16"/>
        <v>579.15</v>
      </c>
      <c r="J36" s="713">
        <f>C36*E36*F36*16.5</f>
        <v>579.15</v>
      </c>
      <c r="K36" s="1013">
        <v>0</v>
      </c>
      <c r="L36" s="713">
        <v>0</v>
      </c>
      <c r="M36" s="961"/>
      <c r="N36" s="961"/>
      <c r="O36" s="961"/>
      <c r="P36" s="961"/>
      <c r="Q36" s="961"/>
      <c r="R36" s="962"/>
      <c r="S36" s="515"/>
      <c r="T36" s="515"/>
      <c r="U36" s="515"/>
      <c r="V36" s="515"/>
    </row>
    <row r="37" spans="1:22" s="890" customFormat="1" ht="15.75" customHeight="1">
      <c r="A37" s="908" t="s">
        <v>983</v>
      </c>
      <c r="B37" s="918" t="s">
        <v>767</v>
      </c>
      <c r="C37" s="712">
        <v>3</v>
      </c>
      <c r="D37" s="978">
        <v>1</v>
      </c>
      <c r="E37" s="712">
        <v>1</v>
      </c>
      <c r="F37" s="712">
        <v>1</v>
      </c>
      <c r="G37" s="712">
        <v>69</v>
      </c>
      <c r="H37" s="712">
        <f>C37*D37*G37</f>
        <v>207</v>
      </c>
      <c r="I37" s="713">
        <f t="shared" si="16"/>
        <v>49.5</v>
      </c>
      <c r="J37" s="713">
        <f>C37*E37*F37*16.5</f>
        <v>49.5</v>
      </c>
      <c r="K37" s="1013">
        <v>0</v>
      </c>
      <c r="L37" s="713">
        <v>0</v>
      </c>
      <c r="M37" s="961"/>
      <c r="N37" s="961"/>
      <c r="O37" s="961"/>
      <c r="P37" s="961"/>
      <c r="Q37" s="961"/>
      <c r="R37" s="962"/>
      <c r="S37" s="515"/>
      <c r="T37" s="515"/>
      <c r="U37" s="515"/>
      <c r="V37" s="515"/>
    </row>
    <row r="38" spans="1:22" s="890" customFormat="1" ht="15.75" customHeight="1">
      <c r="A38" s="908" t="s">
        <v>985</v>
      </c>
      <c r="B38" s="918" t="s">
        <v>769</v>
      </c>
      <c r="C38" s="713">
        <v>3</v>
      </c>
      <c r="D38" s="978">
        <v>1</v>
      </c>
      <c r="E38" s="713">
        <v>1</v>
      </c>
      <c r="F38" s="712">
        <v>1</v>
      </c>
      <c r="G38" s="713">
        <v>62</v>
      </c>
      <c r="H38" s="712">
        <f t="shared" ref="H38:H44" si="18">C38*D38*G38</f>
        <v>186</v>
      </c>
      <c r="I38" s="713">
        <f t="shared" si="16"/>
        <v>49.5</v>
      </c>
      <c r="J38" s="713">
        <f t="shared" ref="J38:J44" si="19">C38*E38*F38*16.5</f>
        <v>49.5</v>
      </c>
      <c r="K38" s="1013">
        <v>0</v>
      </c>
      <c r="L38" s="713">
        <v>0</v>
      </c>
      <c r="M38" s="961"/>
      <c r="N38" s="961"/>
      <c r="O38" s="961"/>
      <c r="P38" s="961"/>
      <c r="Q38" s="961"/>
      <c r="R38" s="962"/>
      <c r="S38" s="515"/>
      <c r="T38" s="515"/>
      <c r="U38" s="515"/>
      <c r="V38" s="515"/>
    </row>
    <row r="39" spans="1:22" s="890" customFormat="1" ht="15.75" customHeight="1">
      <c r="A39" s="908" t="s">
        <v>987</v>
      </c>
      <c r="B39" s="918" t="s">
        <v>769</v>
      </c>
      <c r="C39" s="713">
        <v>3</v>
      </c>
      <c r="D39" s="1260">
        <v>1.5</v>
      </c>
      <c r="E39" s="713">
        <v>1</v>
      </c>
      <c r="F39" s="712">
        <v>1</v>
      </c>
      <c r="G39" s="713">
        <v>50</v>
      </c>
      <c r="H39" s="712">
        <f t="shared" si="18"/>
        <v>225</v>
      </c>
      <c r="I39" s="713">
        <f t="shared" si="16"/>
        <v>49.5</v>
      </c>
      <c r="J39" s="713">
        <f t="shared" si="19"/>
        <v>49.5</v>
      </c>
      <c r="K39" s="1013">
        <v>0</v>
      </c>
      <c r="L39" s="713">
        <v>0</v>
      </c>
      <c r="M39" s="961"/>
      <c r="N39" s="961"/>
      <c r="O39" s="961"/>
      <c r="P39" s="961"/>
      <c r="Q39" s="961"/>
      <c r="R39" s="962"/>
      <c r="S39" s="515"/>
      <c r="T39" s="515"/>
      <c r="U39" s="515"/>
      <c r="V39" s="515"/>
    </row>
    <row r="40" spans="1:22" s="890" customFormat="1" ht="15.75" customHeight="1">
      <c r="A40" s="908" t="s">
        <v>971</v>
      </c>
      <c r="B40" s="914" t="s">
        <v>773</v>
      </c>
      <c r="C40" s="713">
        <v>3</v>
      </c>
      <c r="D40" s="978">
        <v>1</v>
      </c>
      <c r="E40" s="713">
        <v>1</v>
      </c>
      <c r="F40" s="712">
        <v>1.3</v>
      </c>
      <c r="G40" s="713">
        <v>77</v>
      </c>
      <c r="H40" s="712">
        <f t="shared" si="18"/>
        <v>231</v>
      </c>
      <c r="I40" s="713">
        <f t="shared" si="16"/>
        <v>64.350000000000009</v>
      </c>
      <c r="J40" s="713">
        <f t="shared" si="19"/>
        <v>64.350000000000009</v>
      </c>
      <c r="K40" s="1013">
        <v>0</v>
      </c>
      <c r="L40" s="713">
        <v>0</v>
      </c>
      <c r="M40" s="961"/>
      <c r="N40" s="961"/>
      <c r="O40" s="961"/>
      <c r="P40" s="961"/>
      <c r="Q40" s="961"/>
      <c r="R40" s="962"/>
      <c r="S40" s="515"/>
      <c r="T40" s="515"/>
      <c r="U40" s="515"/>
      <c r="V40" s="515"/>
    </row>
    <row r="41" spans="1:22" s="890" customFormat="1" ht="15.75" customHeight="1">
      <c r="A41" s="908" t="s">
        <v>1382</v>
      </c>
      <c r="B41" s="914" t="s">
        <v>779</v>
      </c>
      <c r="C41" s="713">
        <v>3</v>
      </c>
      <c r="D41" s="978">
        <v>1</v>
      </c>
      <c r="E41" s="713">
        <v>1</v>
      </c>
      <c r="F41" s="712">
        <v>1</v>
      </c>
      <c r="G41" s="713">
        <v>69</v>
      </c>
      <c r="H41" s="712">
        <f>C41*D41*G41</f>
        <v>207</v>
      </c>
      <c r="I41" s="713">
        <f t="shared" si="16"/>
        <v>49.5</v>
      </c>
      <c r="J41" s="713">
        <f>C41*E41*F41*16.5</f>
        <v>49.5</v>
      </c>
      <c r="K41" s="1013">
        <v>0</v>
      </c>
      <c r="L41" s="713">
        <v>0</v>
      </c>
      <c r="M41" s="961"/>
      <c r="N41" s="961"/>
      <c r="O41" s="961"/>
      <c r="P41" s="961"/>
      <c r="Q41" s="961"/>
      <c r="R41" s="962"/>
      <c r="S41" s="515"/>
      <c r="T41" s="515"/>
      <c r="U41" s="515"/>
      <c r="V41" s="515"/>
    </row>
    <row r="42" spans="1:22" s="890" customFormat="1" ht="15.75" customHeight="1">
      <c r="A42" s="908" t="s">
        <v>1383</v>
      </c>
      <c r="B42" s="918" t="s">
        <v>781</v>
      </c>
      <c r="C42" s="712">
        <v>4</v>
      </c>
      <c r="D42" s="978">
        <v>1</v>
      </c>
      <c r="E42" s="712">
        <v>1</v>
      </c>
      <c r="F42" s="712">
        <v>1</v>
      </c>
      <c r="G42" s="713">
        <v>62</v>
      </c>
      <c r="H42" s="712">
        <f t="shared" si="18"/>
        <v>248</v>
      </c>
      <c r="I42" s="713">
        <f t="shared" si="16"/>
        <v>66</v>
      </c>
      <c r="J42" s="713">
        <f t="shared" si="19"/>
        <v>66</v>
      </c>
      <c r="K42" s="1013">
        <v>0</v>
      </c>
      <c r="L42" s="713">
        <v>0</v>
      </c>
      <c r="M42" s="961"/>
      <c r="N42" s="961"/>
      <c r="O42" s="961"/>
      <c r="P42" s="961"/>
      <c r="Q42" s="961"/>
      <c r="R42" s="962"/>
      <c r="S42" s="515"/>
      <c r="T42" s="515"/>
      <c r="U42" s="515"/>
      <c r="V42" s="515"/>
    </row>
    <row r="43" spans="1:22" s="890" customFormat="1" ht="15.75" customHeight="1">
      <c r="A43" s="908" t="s">
        <v>1384</v>
      </c>
      <c r="B43" s="918" t="s">
        <v>783</v>
      </c>
      <c r="C43" s="713">
        <v>3</v>
      </c>
      <c r="D43" s="1260">
        <v>1.5</v>
      </c>
      <c r="E43" s="713">
        <v>1</v>
      </c>
      <c r="F43" s="712">
        <v>1</v>
      </c>
      <c r="G43" s="713">
        <v>50</v>
      </c>
      <c r="H43" s="712">
        <f t="shared" si="18"/>
        <v>225</v>
      </c>
      <c r="I43" s="713">
        <f t="shared" si="16"/>
        <v>49.5</v>
      </c>
      <c r="J43" s="713">
        <f t="shared" si="19"/>
        <v>49.5</v>
      </c>
      <c r="K43" s="1013">
        <v>0</v>
      </c>
      <c r="L43" s="713">
        <v>0</v>
      </c>
      <c r="M43" s="961"/>
      <c r="N43" s="961"/>
      <c r="O43" s="961"/>
      <c r="P43" s="961"/>
      <c r="Q43" s="961"/>
      <c r="R43" s="962"/>
      <c r="S43" s="515"/>
      <c r="T43" s="515"/>
      <c r="U43" s="515"/>
      <c r="V43" s="515"/>
    </row>
    <row r="44" spans="1:22" s="890" customFormat="1" ht="15.75" customHeight="1">
      <c r="A44" s="908" t="s">
        <v>1385</v>
      </c>
      <c r="B44" s="915" t="s">
        <v>786</v>
      </c>
      <c r="C44" s="712">
        <v>3</v>
      </c>
      <c r="D44" s="978">
        <v>1</v>
      </c>
      <c r="E44" s="712">
        <v>2</v>
      </c>
      <c r="F44" s="712">
        <v>1.3</v>
      </c>
      <c r="G44" s="712">
        <v>80</v>
      </c>
      <c r="H44" s="712">
        <f t="shared" si="18"/>
        <v>240</v>
      </c>
      <c r="I44" s="713">
        <f t="shared" si="16"/>
        <v>128.70000000000002</v>
      </c>
      <c r="J44" s="713">
        <f t="shared" si="19"/>
        <v>128.70000000000002</v>
      </c>
      <c r="K44" s="1013">
        <v>0</v>
      </c>
      <c r="L44" s="713">
        <v>0</v>
      </c>
      <c r="M44" s="961"/>
      <c r="N44" s="961"/>
      <c r="O44" s="961"/>
      <c r="P44" s="961"/>
      <c r="Q44" s="961"/>
      <c r="R44" s="962"/>
      <c r="S44" s="515"/>
      <c r="T44" s="515"/>
      <c r="U44" s="515"/>
      <c r="V44" s="515"/>
    </row>
    <row r="45" spans="1:22" s="890" customFormat="1" ht="15.75" customHeight="1">
      <c r="A45" s="1011">
        <v>2</v>
      </c>
      <c r="B45" s="707" t="s">
        <v>523</v>
      </c>
      <c r="C45" s="718">
        <f>C46+C49</f>
        <v>14</v>
      </c>
      <c r="D45" s="979"/>
      <c r="E45" s="718">
        <f>E46+E49</f>
        <v>6</v>
      </c>
      <c r="F45" s="718"/>
      <c r="G45" s="718"/>
      <c r="H45" s="718">
        <f>H46+H49</f>
        <v>1034</v>
      </c>
      <c r="I45" s="718">
        <f>I46+I49</f>
        <v>347</v>
      </c>
      <c r="J45" s="718">
        <f>J46+J49</f>
        <v>347</v>
      </c>
      <c r="K45" s="718">
        <f>K46+K48</f>
        <v>0</v>
      </c>
      <c r="L45" s="718">
        <f>L46+L48</f>
        <v>0</v>
      </c>
      <c r="M45" s="975"/>
      <c r="N45" s="975"/>
      <c r="O45" s="975"/>
      <c r="P45" s="975"/>
      <c r="Q45" s="975"/>
      <c r="R45" s="976"/>
      <c r="S45" s="515"/>
      <c r="T45" s="515"/>
      <c r="U45" s="515"/>
      <c r="V45" s="515"/>
    </row>
    <row r="46" spans="1:22" s="887" customFormat="1" ht="15.75" customHeight="1">
      <c r="A46" s="895" t="s">
        <v>154</v>
      </c>
      <c r="B46" s="896" t="s">
        <v>1378</v>
      </c>
      <c r="C46" s="884">
        <f>C47+C48</f>
        <v>8</v>
      </c>
      <c r="D46" s="989"/>
      <c r="E46" s="884">
        <f>E47+E48</f>
        <v>2</v>
      </c>
      <c r="F46" s="884"/>
      <c r="G46" s="884"/>
      <c r="H46" s="884">
        <f>H47+H48</f>
        <v>296</v>
      </c>
      <c r="I46" s="884">
        <f>I47+I48</f>
        <v>149</v>
      </c>
      <c r="J46" s="884">
        <f>J47+J48</f>
        <v>149</v>
      </c>
      <c r="K46" s="884">
        <f>SUM(K47:K51)</f>
        <v>0</v>
      </c>
      <c r="L46" s="884">
        <f>SUM(L47:L51)</f>
        <v>0</v>
      </c>
      <c r="M46" s="985"/>
      <c r="N46" s="985"/>
      <c r="O46" s="985"/>
      <c r="P46" s="985"/>
      <c r="Q46" s="985"/>
      <c r="R46" s="986"/>
      <c r="S46" s="512"/>
      <c r="T46" s="512"/>
      <c r="U46" s="512"/>
      <c r="V46" s="512"/>
    </row>
    <row r="47" spans="1:22" s="890" customFormat="1" ht="15.75" customHeight="1">
      <c r="A47" s="901" t="s">
        <v>155</v>
      </c>
      <c r="B47" s="918" t="s">
        <v>788</v>
      </c>
      <c r="C47" s="713">
        <v>3</v>
      </c>
      <c r="D47" s="966">
        <v>1</v>
      </c>
      <c r="E47" s="713">
        <v>2</v>
      </c>
      <c r="F47" s="712">
        <v>1</v>
      </c>
      <c r="G47" s="713">
        <v>82</v>
      </c>
      <c r="H47" s="713">
        <f t="shared" ref="H47" si="20">C47*D47*G47</f>
        <v>246</v>
      </c>
      <c r="I47" s="1013">
        <f>C47*E47*16.5</f>
        <v>99</v>
      </c>
      <c r="J47" s="1013">
        <v>99</v>
      </c>
      <c r="K47" s="1013">
        <v>0</v>
      </c>
      <c r="L47" s="1013">
        <v>0</v>
      </c>
      <c r="M47" s="964"/>
      <c r="N47" s="964"/>
      <c r="O47" s="964"/>
      <c r="P47" s="964"/>
      <c r="Q47" s="964"/>
      <c r="R47" s="965"/>
      <c r="S47" s="515"/>
      <c r="T47" s="515"/>
      <c r="U47" s="515"/>
      <c r="V47" s="515"/>
    </row>
    <row r="48" spans="1:22" s="684" customFormat="1" ht="15.75" customHeight="1">
      <c r="A48" s="991" t="s">
        <v>156</v>
      </c>
      <c r="B48" s="902" t="s">
        <v>170</v>
      </c>
      <c r="C48" s="713">
        <v>5</v>
      </c>
      <c r="D48" s="966">
        <v>1.4</v>
      </c>
      <c r="E48" s="713">
        <v>0</v>
      </c>
      <c r="F48" s="713"/>
      <c r="G48" s="713">
        <v>10</v>
      </c>
      <c r="H48" s="713">
        <f>G48*C48</f>
        <v>50</v>
      </c>
      <c r="I48" s="713">
        <f>G48*C48</f>
        <v>50</v>
      </c>
      <c r="J48" s="1013">
        <f>I48</f>
        <v>50</v>
      </c>
      <c r="K48" s="1013">
        <v>0</v>
      </c>
      <c r="L48" s="1013">
        <v>0</v>
      </c>
      <c r="M48" s="964"/>
      <c r="N48" s="964"/>
      <c r="O48" s="964"/>
      <c r="P48" s="964"/>
      <c r="Q48" s="964"/>
      <c r="R48" s="965"/>
      <c r="S48" s="531"/>
      <c r="T48" s="531"/>
      <c r="U48" s="531"/>
      <c r="V48" s="531"/>
    </row>
    <row r="49" spans="1:22" s="887" customFormat="1" ht="15.75" customHeight="1">
      <c r="A49" s="932" t="s">
        <v>161</v>
      </c>
      <c r="B49" s="896" t="s">
        <v>1381</v>
      </c>
      <c r="C49" s="884">
        <f>C50+C51</f>
        <v>6</v>
      </c>
      <c r="D49" s="989">
        <f>D50+D51</f>
        <v>3</v>
      </c>
      <c r="E49" s="884">
        <f>E50+E51</f>
        <v>4</v>
      </c>
      <c r="F49" s="884"/>
      <c r="G49" s="884">
        <f>G50+G51</f>
        <v>164</v>
      </c>
      <c r="H49" s="884">
        <f>H50+H51</f>
        <v>738</v>
      </c>
      <c r="I49" s="884">
        <f>I50+I51</f>
        <v>198</v>
      </c>
      <c r="J49" s="885">
        <f>J50+J51</f>
        <v>198</v>
      </c>
      <c r="K49" s="885">
        <v>0</v>
      </c>
      <c r="L49" s="885"/>
      <c r="M49" s="985"/>
      <c r="N49" s="985"/>
      <c r="O49" s="985"/>
      <c r="P49" s="985"/>
      <c r="Q49" s="985"/>
      <c r="R49" s="986"/>
      <c r="S49" s="512"/>
      <c r="T49" s="512"/>
      <c r="U49" s="512"/>
      <c r="V49" s="512"/>
    </row>
    <row r="50" spans="1:22" s="890" customFormat="1" ht="15.75" customHeight="1">
      <c r="A50" s="901" t="s">
        <v>163</v>
      </c>
      <c r="B50" s="918" t="s">
        <v>787</v>
      </c>
      <c r="C50" s="713">
        <v>3</v>
      </c>
      <c r="D50" s="966">
        <v>1.5</v>
      </c>
      <c r="E50" s="713">
        <v>2</v>
      </c>
      <c r="F50" s="713">
        <v>1</v>
      </c>
      <c r="G50" s="713">
        <v>82</v>
      </c>
      <c r="H50" s="713">
        <f>C50*D50*G50</f>
        <v>369</v>
      </c>
      <c r="I50" s="713">
        <f>C50*E50*F50*16.5</f>
        <v>99</v>
      </c>
      <c r="J50" s="1013">
        <f>I50</f>
        <v>99</v>
      </c>
      <c r="K50" s="1013">
        <v>0</v>
      </c>
      <c r="L50" s="1013">
        <v>0</v>
      </c>
      <c r="M50" s="964"/>
      <c r="N50" s="964"/>
      <c r="O50" s="964"/>
      <c r="P50" s="964"/>
      <c r="Q50" s="964"/>
      <c r="R50" s="965"/>
      <c r="S50" s="515"/>
      <c r="T50" s="515"/>
      <c r="U50" s="515"/>
      <c r="V50" s="515"/>
    </row>
    <row r="51" spans="1:22" s="890" customFormat="1" ht="15.75" customHeight="1">
      <c r="A51" s="901" t="s">
        <v>164</v>
      </c>
      <c r="B51" s="918" t="s">
        <v>789</v>
      </c>
      <c r="C51" s="713">
        <v>3</v>
      </c>
      <c r="D51" s="966">
        <v>1.5</v>
      </c>
      <c r="E51" s="713">
        <v>2</v>
      </c>
      <c r="F51" s="712">
        <v>1</v>
      </c>
      <c r="G51" s="713">
        <v>82</v>
      </c>
      <c r="H51" s="713">
        <f>C51*D51*G51</f>
        <v>369</v>
      </c>
      <c r="I51" s="1013">
        <f>C51*E51*16.5</f>
        <v>99</v>
      </c>
      <c r="J51" s="1013">
        <v>99</v>
      </c>
      <c r="K51" s="1013">
        <v>0</v>
      </c>
      <c r="L51" s="1013">
        <v>0</v>
      </c>
      <c r="M51" s="964"/>
      <c r="N51" s="964"/>
      <c r="O51" s="964"/>
      <c r="P51" s="964"/>
      <c r="Q51" s="964"/>
      <c r="R51" s="965"/>
      <c r="S51" s="515"/>
      <c r="T51" s="515"/>
      <c r="U51" s="515"/>
      <c r="V51" s="515"/>
    </row>
    <row r="52" spans="1:22" s="890" customFormat="1" ht="15.75" customHeight="1">
      <c r="A52" s="882">
        <v>3</v>
      </c>
      <c r="B52" s="707" t="s">
        <v>171</v>
      </c>
      <c r="C52" s="708">
        <v>0</v>
      </c>
      <c r="D52" s="977">
        <v>0</v>
      </c>
      <c r="E52" s="708">
        <v>0</v>
      </c>
      <c r="F52" s="708">
        <v>0</v>
      </c>
      <c r="G52" s="708">
        <v>0</v>
      </c>
      <c r="H52" s="708">
        <v>0</v>
      </c>
      <c r="I52" s="708">
        <v>0</v>
      </c>
      <c r="J52" s="708">
        <v>0</v>
      </c>
      <c r="K52" s="708">
        <v>0</v>
      </c>
      <c r="L52" s="708">
        <v>0</v>
      </c>
      <c r="M52" s="975"/>
      <c r="N52" s="975"/>
      <c r="O52" s="975"/>
      <c r="P52" s="975"/>
      <c r="Q52" s="975"/>
      <c r="R52" s="976"/>
      <c r="S52" s="515"/>
      <c r="T52" s="515"/>
      <c r="U52" s="515"/>
      <c r="V52" s="515"/>
    </row>
    <row r="53" spans="1:22" s="890" customFormat="1" ht="36" customHeight="1">
      <c r="A53" s="882" t="s">
        <v>41</v>
      </c>
      <c r="B53" s="707" t="s">
        <v>175</v>
      </c>
      <c r="C53" s="708">
        <f>C54+C70</f>
        <v>76</v>
      </c>
      <c r="D53" s="977"/>
      <c r="E53" s="708">
        <f>E54+E70</f>
        <v>363</v>
      </c>
      <c r="F53" s="708"/>
      <c r="G53" s="708"/>
      <c r="H53" s="708">
        <f>H54+H70</f>
        <v>102820</v>
      </c>
      <c r="I53" s="708">
        <f>I54+I70</f>
        <v>18394.2</v>
      </c>
      <c r="J53" s="708">
        <f>J54+J70</f>
        <v>13887.2</v>
      </c>
      <c r="K53" s="708">
        <f>K54+K70</f>
        <v>0</v>
      </c>
      <c r="L53" s="708">
        <f>L54+L70</f>
        <v>3520</v>
      </c>
      <c r="M53" s="1140"/>
      <c r="N53" s="975"/>
      <c r="O53" s="975"/>
      <c r="P53" s="975"/>
      <c r="Q53" s="975"/>
      <c r="R53" s="976"/>
      <c r="S53" s="515"/>
      <c r="T53" s="515"/>
      <c r="U53" s="515"/>
      <c r="V53" s="515"/>
    </row>
    <row r="54" spans="1:22" s="890" customFormat="1" ht="15.75" customHeight="1">
      <c r="A54" s="882">
        <v>1</v>
      </c>
      <c r="B54" s="921" t="s">
        <v>176</v>
      </c>
      <c r="C54" s="708">
        <f>C55+C63</f>
        <v>44</v>
      </c>
      <c r="D54" s="977"/>
      <c r="E54" s="708">
        <f>E55+E63</f>
        <v>319</v>
      </c>
      <c r="F54" s="708"/>
      <c r="G54" s="708"/>
      <c r="H54" s="708">
        <f>H55+H63</f>
        <v>99300</v>
      </c>
      <c r="I54" s="708">
        <f>I55+I63</f>
        <v>18183</v>
      </c>
      <c r="J54" s="708">
        <f>J55+J63</f>
        <v>13676</v>
      </c>
      <c r="K54" s="708">
        <f t="shared" ref="K54" si="21">K55+K63</f>
        <v>0</v>
      </c>
      <c r="L54" s="708">
        <f>L55+L63</f>
        <v>3520</v>
      </c>
      <c r="M54" s="1142"/>
      <c r="N54" s="1134"/>
      <c r="O54" s="975"/>
      <c r="P54" s="975"/>
      <c r="Q54" s="975"/>
      <c r="R54" s="976"/>
      <c r="S54" s="515"/>
      <c r="T54" s="515"/>
      <c r="U54" s="515"/>
      <c r="V54" s="515"/>
    </row>
    <row r="55" spans="1:22" s="887" customFormat="1" ht="15" customHeight="1">
      <c r="A55" s="1012" t="s">
        <v>154</v>
      </c>
      <c r="B55" s="896" t="s">
        <v>1378</v>
      </c>
      <c r="C55" s="884">
        <f>SUM(C56:C62)</f>
        <v>23</v>
      </c>
      <c r="D55" s="989"/>
      <c r="E55" s="884">
        <f>SUM(E56:E62)</f>
        <v>177</v>
      </c>
      <c r="F55" s="884"/>
      <c r="G55" s="884"/>
      <c r="H55" s="884">
        <f>SUM(H56:H62)</f>
        <v>50400</v>
      </c>
      <c r="I55" s="884">
        <f>SUM(I56:I62)</f>
        <v>9784.5</v>
      </c>
      <c r="J55" s="884">
        <f t="shared" ref="J55:K55" si="22">SUM(J56:J62)</f>
        <v>6597</v>
      </c>
      <c r="K55" s="884">
        <f t="shared" si="22"/>
        <v>0</v>
      </c>
      <c r="L55" s="884">
        <f>SUM(L56:L62)</f>
        <v>2200</v>
      </c>
      <c r="M55" s="1142"/>
      <c r="N55" s="1135"/>
      <c r="O55" s="985"/>
      <c r="P55" s="985"/>
      <c r="Q55" s="985"/>
      <c r="R55" s="986"/>
      <c r="S55" s="512"/>
      <c r="T55" s="512"/>
      <c r="U55" s="512"/>
      <c r="V55" s="512"/>
    </row>
    <row r="56" spans="1:22" s="890" customFormat="1" ht="15.75" customHeight="1">
      <c r="A56" s="908" t="s">
        <v>155</v>
      </c>
      <c r="B56" s="918" t="s">
        <v>745</v>
      </c>
      <c r="C56" s="713">
        <v>5</v>
      </c>
      <c r="D56" s="966">
        <v>1</v>
      </c>
      <c r="E56" s="713">
        <v>31</v>
      </c>
      <c r="F56" s="713">
        <v>1</v>
      </c>
      <c r="G56" s="713">
        <v>2700</v>
      </c>
      <c r="H56" s="713">
        <f>C56*D56*G56</f>
        <v>13500</v>
      </c>
      <c r="I56" s="713">
        <f>C56*E56*F56*16.5</f>
        <v>2557.5</v>
      </c>
      <c r="J56" s="1013">
        <f>I56</f>
        <v>2557.5</v>
      </c>
      <c r="K56" s="1013">
        <v>0</v>
      </c>
      <c r="L56" s="1133">
        <v>0</v>
      </c>
      <c r="M56" s="1142"/>
      <c r="N56" s="1136"/>
      <c r="O56" s="968"/>
      <c r="P56" s="968"/>
      <c r="Q56" s="968"/>
      <c r="R56" s="969"/>
      <c r="S56" s="515"/>
      <c r="T56" s="515"/>
      <c r="U56" s="515"/>
      <c r="V56" s="515"/>
    </row>
    <row r="57" spans="1:22" s="890" customFormat="1" ht="15.75" customHeight="1">
      <c r="A57" s="908" t="s">
        <v>156</v>
      </c>
      <c r="B57" s="918" t="s">
        <v>791</v>
      </c>
      <c r="C57" s="713">
        <v>3</v>
      </c>
      <c r="D57" s="966">
        <v>1</v>
      </c>
      <c r="E57" s="713">
        <v>21</v>
      </c>
      <c r="F57" s="713">
        <v>1</v>
      </c>
      <c r="G57" s="713">
        <v>2100</v>
      </c>
      <c r="H57" s="713">
        <f t="shared" ref="H57:H62" si="23">C57*D57*G57</f>
        <v>6300</v>
      </c>
      <c r="I57" s="713">
        <f t="shared" ref="I57:I58" si="24">C57*E57*F57*16.5</f>
        <v>1039.5</v>
      </c>
      <c r="J57" s="1013">
        <v>600</v>
      </c>
      <c r="K57" s="1013">
        <v>0</v>
      </c>
      <c r="L57" s="1221">
        <v>440</v>
      </c>
      <c r="M57" s="1142"/>
      <c r="N57" s="1136"/>
      <c r="O57" s="968"/>
      <c r="P57" s="968"/>
      <c r="Q57" s="968"/>
      <c r="R57" s="969"/>
      <c r="S57" s="515"/>
      <c r="T57" s="515"/>
      <c r="U57" s="515"/>
      <c r="V57" s="515"/>
    </row>
    <row r="58" spans="1:22" s="890" customFormat="1" ht="15.75" customHeight="1">
      <c r="A58" s="908" t="s">
        <v>157</v>
      </c>
      <c r="B58" s="918" t="s">
        <v>793</v>
      </c>
      <c r="C58" s="713">
        <v>3</v>
      </c>
      <c r="D58" s="966">
        <v>1</v>
      </c>
      <c r="E58" s="713">
        <v>21</v>
      </c>
      <c r="F58" s="713">
        <v>1</v>
      </c>
      <c r="G58" s="713">
        <v>2100</v>
      </c>
      <c r="H58" s="713">
        <f t="shared" si="23"/>
        <v>6300</v>
      </c>
      <c r="I58" s="713">
        <f t="shared" si="24"/>
        <v>1039.5</v>
      </c>
      <c r="J58" s="1013">
        <f>I58</f>
        <v>1039.5</v>
      </c>
      <c r="K58" s="1013">
        <v>0</v>
      </c>
      <c r="L58" s="1133">
        <v>0</v>
      </c>
      <c r="M58" s="1142"/>
      <c r="N58" s="1136"/>
      <c r="O58" s="968"/>
      <c r="P58" s="968"/>
      <c r="Q58" s="968"/>
      <c r="R58" s="969"/>
      <c r="S58" s="515"/>
      <c r="T58" s="515"/>
      <c r="U58" s="515"/>
      <c r="V58" s="515"/>
    </row>
    <row r="59" spans="1:22" s="890" customFormat="1" ht="15.75" customHeight="1">
      <c r="A59" s="908" t="s">
        <v>158</v>
      </c>
      <c r="B59" s="918" t="s">
        <v>794</v>
      </c>
      <c r="C59" s="712">
        <v>3</v>
      </c>
      <c r="D59" s="978">
        <v>1</v>
      </c>
      <c r="E59" s="712">
        <v>21</v>
      </c>
      <c r="F59" s="712">
        <v>1</v>
      </c>
      <c r="G59" s="713">
        <v>1600</v>
      </c>
      <c r="H59" s="713">
        <f t="shared" si="23"/>
        <v>4800</v>
      </c>
      <c r="I59" s="1013">
        <f>C59*E59*F59*16.5</f>
        <v>1039.5</v>
      </c>
      <c r="J59" s="1013">
        <v>600</v>
      </c>
      <c r="K59" s="1013">
        <v>0</v>
      </c>
      <c r="L59" s="1221">
        <v>440</v>
      </c>
      <c r="M59" s="1142"/>
      <c r="N59" s="1136"/>
      <c r="O59" s="968"/>
      <c r="P59" s="968"/>
      <c r="Q59" s="968"/>
      <c r="R59" s="969"/>
      <c r="S59" s="515"/>
      <c r="T59" s="515"/>
      <c r="U59" s="515"/>
      <c r="V59" s="515"/>
    </row>
    <row r="60" spans="1:22" s="890" customFormat="1" ht="15.75" customHeight="1">
      <c r="A60" s="908" t="s">
        <v>159</v>
      </c>
      <c r="B60" s="918" t="s">
        <v>796</v>
      </c>
      <c r="C60" s="712">
        <v>3</v>
      </c>
      <c r="D60" s="978">
        <v>1</v>
      </c>
      <c r="E60" s="713">
        <v>31</v>
      </c>
      <c r="F60" s="712">
        <v>1</v>
      </c>
      <c r="G60" s="713">
        <v>2700</v>
      </c>
      <c r="H60" s="713">
        <f t="shared" si="23"/>
        <v>8100</v>
      </c>
      <c r="I60" s="1013">
        <f t="shared" ref="I60:I62" si="25">C60*E60*F60*16.5</f>
        <v>1534.5</v>
      </c>
      <c r="J60" s="1013">
        <v>600</v>
      </c>
      <c r="K60" s="1013">
        <v>0</v>
      </c>
      <c r="L60" s="1221">
        <v>440</v>
      </c>
      <c r="M60" s="1142"/>
      <c r="N60" s="1136"/>
      <c r="O60" s="968"/>
      <c r="P60" s="968"/>
      <c r="Q60" s="968"/>
      <c r="R60" s="969"/>
      <c r="S60" s="515"/>
      <c r="T60" s="515"/>
      <c r="U60" s="515"/>
      <c r="V60" s="515"/>
    </row>
    <row r="61" spans="1:22" s="890" customFormat="1" ht="15.75" customHeight="1">
      <c r="A61" s="908" t="s">
        <v>160</v>
      </c>
      <c r="B61" s="918" t="s">
        <v>797</v>
      </c>
      <c r="C61" s="712">
        <v>3</v>
      </c>
      <c r="D61" s="978">
        <v>1</v>
      </c>
      <c r="E61" s="713">
        <v>31</v>
      </c>
      <c r="F61" s="712">
        <v>1</v>
      </c>
      <c r="G61" s="713">
        <v>2700</v>
      </c>
      <c r="H61" s="713">
        <f t="shared" si="23"/>
        <v>8100</v>
      </c>
      <c r="I61" s="1013">
        <f t="shared" si="25"/>
        <v>1534.5</v>
      </c>
      <c r="J61" s="1013">
        <v>600</v>
      </c>
      <c r="K61" s="1013">
        <v>0</v>
      </c>
      <c r="L61" s="1221">
        <v>440</v>
      </c>
      <c r="M61" s="1142"/>
      <c r="N61" s="1136"/>
      <c r="O61" s="968"/>
      <c r="P61" s="968"/>
      <c r="Q61" s="968"/>
      <c r="R61" s="969"/>
      <c r="S61" s="515"/>
      <c r="T61" s="515"/>
      <c r="U61" s="515"/>
      <c r="V61" s="515"/>
    </row>
    <row r="62" spans="1:22" s="890" customFormat="1" ht="15.75" customHeight="1">
      <c r="A62" s="908" t="s">
        <v>749</v>
      </c>
      <c r="B62" s="918" t="s">
        <v>799</v>
      </c>
      <c r="C62" s="712">
        <v>3</v>
      </c>
      <c r="D62" s="978">
        <v>1</v>
      </c>
      <c r="E62" s="712">
        <v>21</v>
      </c>
      <c r="F62" s="712">
        <v>1</v>
      </c>
      <c r="G62" s="712">
        <v>1100</v>
      </c>
      <c r="H62" s="713">
        <f t="shared" si="23"/>
        <v>3300</v>
      </c>
      <c r="I62" s="1013">
        <f t="shared" si="25"/>
        <v>1039.5</v>
      </c>
      <c r="J62" s="1013">
        <v>600</v>
      </c>
      <c r="K62" s="1013">
        <v>0</v>
      </c>
      <c r="L62" s="1221">
        <v>440</v>
      </c>
      <c r="M62" s="1142"/>
      <c r="N62" s="1136"/>
      <c r="O62" s="968"/>
      <c r="P62" s="968"/>
      <c r="Q62" s="968"/>
      <c r="R62" s="969"/>
      <c r="S62" s="515"/>
      <c r="T62" s="515"/>
      <c r="U62" s="515"/>
      <c r="V62" s="515"/>
    </row>
    <row r="63" spans="1:22" s="887" customFormat="1" ht="15.75" customHeight="1">
      <c r="A63" s="932" t="s">
        <v>161</v>
      </c>
      <c r="B63" s="896" t="s">
        <v>1381</v>
      </c>
      <c r="C63" s="884">
        <f>SUM(C64:C69)</f>
        <v>21</v>
      </c>
      <c r="D63" s="989"/>
      <c r="E63" s="884">
        <f>SUM(E64:E69)</f>
        <v>142</v>
      </c>
      <c r="F63" s="884"/>
      <c r="G63" s="884"/>
      <c r="H63" s="884">
        <f>SUM(H64:H69)</f>
        <v>48900</v>
      </c>
      <c r="I63" s="884">
        <f>SUM(I64:I69)</f>
        <v>8398.5</v>
      </c>
      <c r="J63" s="885">
        <f>SUM(J64:J69)</f>
        <v>7079</v>
      </c>
      <c r="K63" s="885">
        <v>0</v>
      </c>
      <c r="L63" s="1222">
        <f>SUM(L64:L69)</f>
        <v>1320</v>
      </c>
      <c r="M63" s="1142"/>
      <c r="N63" s="1137"/>
      <c r="O63" s="1017"/>
      <c r="P63" s="1017"/>
      <c r="Q63" s="1017"/>
      <c r="R63" s="1018"/>
      <c r="S63" s="512"/>
      <c r="T63" s="512"/>
      <c r="U63" s="512"/>
      <c r="V63" s="512"/>
    </row>
    <row r="64" spans="1:22" s="890" customFormat="1" ht="15.75" customHeight="1">
      <c r="A64" s="908" t="s">
        <v>163</v>
      </c>
      <c r="B64" s="918" t="s">
        <v>746</v>
      </c>
      <c r="C64" s="713">
        <v>3</v>
      </c>
      <c r="D64" s="966">
        <v>1</v>
      </c>
      <c r="E64" s="713">
        <v>21</v>
      </c>
      <c r="F64" s="713">
        <v>1</v>
      </c>
      <c r="G64" s="713">
        <v>2100</v>
      </c>
      <c r="H64" s="713">
        <f t="shared" ref="H64:H69" si="26">C64*D64*G64</f>
        <v>6300</v>
      </c>
      <c r="I64" s="713">
        <f t="shared" ref="I64:I69" si="27">C64*E64*F64*16.5</f>
        <v>1039.5</v>
      </c>
      <c r="J64" s="1013">
        <f>I64</f>
        <v>1039.5</v>
      </c>
      <c r="K64" s="1013">
        <v>0</v>
      </c>
      <c r="L64" s="1133">
        <v>0</v>
      </c>
      <c r="M64" s="1142"/>
      <c r="N64" s="1136"/>
      <c r="O64" s="968"/>
      <c r="P64" s="968"/>
      <c r="Q64" s="968"/>
      <c r="R64" s="969"/>
      <c r="S64" s="515"/>
      <c r="T64" s="515"/>
      <c r="U64" s="515"/>
      <c r="V64" s="515"/>
    </row>
    <row r="65" spans="1:22" s="890" customFormat="1" ht="15.75" customHeight="1">
      <c r="A65" s="908" t="s">
        <v>164</v>
      </c>
      <c r="B65" s="918" t="s">
        <v>790</v>
      </c>
      <c r="C65" s="713">
        <v>3</v>
      </c>
      <c r="D65" s="966">
        <v>1</v>
      </c>
      <c r="E65" s="713">
        <v>27</v>
      </c>
      <c r="F65" s="713">
        <v>1</v>
      </c>
      <c r="G65" s="713">
        <v>2700</v>
      </c>
      <c r="H65" s="713">
        <f t="shared" si="26"/>
        <v>8100</v>
      </c>
      <c r="I65" s="713">
        <f t="shared" si="27"/>
        <v>1336.5</v>
      </c>
      <c r="J65" s="1013">
        <f>I65-L65</f>
        <v>896.5</v>
      </c>
      <c r="K65" s="1013">
        <v>0</v>
      </c>
      <c r="L65" s="1221">
        <v>440</v>
      </c>
      <c r="M65" s="1142"/>
      <c r="N65" s="1136"/>
      <c r="O65" s="968"/>
      <c r="P65" s="968"/>
      <c r="Q65" s="968"/>
      <c r="R65" s="969"/>
      <c r="S65" s="515"/>
      <c r="T65" s="515"/>
      <c r="U65" s="515"/>
      <c r="V65" s="515"/>
    </row>
    <row r="66" spans="1:22" s="890" customFormat="1" ht="15.75" customHeight="1">
      <c r="A66" s="908" t="s">
        <v>165</v>
      </c>
      <c r="B66" s="918" t="s">
        <v>792</v>
      </c>
      <c r="C66" s="713">
        <v>3</v>
      </c>
      <c r="D66" s="966">
        <v>1</v>
      </c>
      <c r="E66" s="713">
        <v>21</v>
      </c>
      <c r="F66" s="713">
        <v>1</v>
      </c>
      <c r="G66" s="713">
        <v>2100</v>
      </c>
      <c r="H66" s="713">
        <f t="shared" si="26"/>
        <v>6300</v>
      </c>
      <c r="I66" s="713">
        <f t="shared" si="27"/>
        <v>1039.5</v>
      </c>
      <c r="J66" s="1013">
        <v>600</v>
      </c>
      <c r="K66" s="1013">
        <v>0</v>
      </c>
      <c r="L66" s="1221">
        <v>440</v>
      </c>
      <c r="M66" s="1142"/>
      <c r="N66" s="1136"/>
      <c r="O66" s="968"/>
      <c r="P66" s="968"/>
      <c r="Q66" s="968"/>
      <c r="R66" s="969"/>
      <c r="S66" s="515"/>
      <c r="T66" s="515"/>
      <c r="U66" s="515"/>
      <c r="V66" s="515"/>
    </row>
    <row r="67" spans="1:22" s="890" customFormat="1" ht="15.75" customHeight="1">
      <c r="A67" s="908" t="s">
        <v>166</v>
      </c>
      <c r="B67" s="918" t="s">
        <v>756</v>
      </c>
      <c r="C67" s="712">
        <v>5</v>
      </c>
      <c r="D67" s="978">
        <v>1</v>
      </c>
      <c r="E67" s="712">
        <v>31</v>
      </c>
      <c r="F67" s="712">
        <v>1</v>
      </c>
      <c r="G67" s="712">
        <v>2700</v>
      </c>
      <c r="H67" s="713">
        <f t="shared" si="26"/>
        <v>13500</v>
      </c>
      <c r="I67" s="1013">
        <f t="shared" si="27"/>
        <v>2557.5</v>
      </c>
      <c r="J67" s="1013">
        <f>I67</f>
        <v>2557.5</v>
      </c>
      <c r="K67" s="1013">
        <v>0</v>
      </c>
      <c r="L67" s="1133">
        <v>0</v>
      </c>
      <c r="M67" s="1142"/>
      <c r="N67" s="1136"/>
      <c r="O67" s="968"/>
      <c r="P67" s="968"/>
      <c r="Q67" s="968"/>
      <c r="R67" s="969"/>
      <c r="S67" s="515"/>
      <c r="T67" s="515"/>
      <c r="U67" s="515"/>
      <c r="V67" s="515"/>
    </row>
    <row r="68" spans="1:22" s="890" customFormat="1" ht="15.75" customHeight="1">
      <c r="A68" s="908" t="s">
        <v>168</v>
      </c>
      <c r="B68" s="918" t="s">
        <v>795</v>
      </c>
      <c r="C68" s="712">
        <v>4</v>
      </c>
      <c r="D68" s="978">
        <v>1</v>
      </c>
      <c r="E68" s="712">
        <v>21</v>
      </c>
      <c r="F68" s="712">
        <v>1</v>
      </c>
      <c r="G68" s="712">
        <v>2100</v>
      </c>
      <c r="H68" s="713">
        <f t="shared" si="26"/>
        <v>8400</v>
      </c>
      <c r="I68" s="1013">
        <f t="shared" si="27"/>
        <v>1386</v>
      </c>
      <c r="J68" s="1013">
        <v>946</v>
      </c>
      <c r="K68" s="1013">
        <v>0</v>
      </c>
      <c r="L68" s="1221">
        <v>440</v>
      </c>
      <c r="M68" s="1142"/>
      <c r="N68" s="1176"/>
      <c r="O68" s="968"/>
      <c r="P68" s="968"/>
      <c r="Q68" s="968"/>
      <c r="R68" s="969"/>
      <c r="S68" s="515"/>
      <c r="T68" s="515"/>
      <c r="U68" s="515"/>
      <c r="V68" s="515"/>
    </row>
    <row r="69" spans="1:22" s="890" customFormat="1" ht="15.75" customHeight="1">
      <c r="A69" s="908" t="s">
        <v>978</v>
      </c>
      <c r="B69" s="918" t="s">
        <v>798</v>
      </c>
      <c r="C69" s="712">
        <v>3</v>
      </c>
      <c r="D69" s="978">
        <v>1</v>
      </c>
      <c r="E69" s="712">
        <v>21</v>
      </c>
      <c r="F69" s="712">
        <v>1</v>
      </c>
      <c r="G69" s="712">
        <v>2100</v>
      </c>
      <c r="H69" s="713">
        <f t="shared" si="26"/>
        <v>6300</v>
      </c>
      <c r="I69" s="1013">
        <f t="shared" si="27"/>
        <v>1039.5</v>
      </c>
      <c r="J69" s="1013">
        <f>I69</f>
        <v>1039.5</v>
      </c>
      <c r="K69" s="1013">
        <v>0</v>
      </c>
      <c r="L69" s="1133">
        <v>0</v>
      </c>
      <c r="M69" s="1142"/>
      <c r="N69" s="1136"/>
      <c r="O69" s="968"/>
      <c r="P69" s="968"/>
      <c r="Q69" s="968"/>
      <c r="R69" s="969"/>
      <c r="S69" s="515"/>
      <c r="T69" s="515"/>
      <c r="U69" s="515"/>
      <c r="V69" s="515"/>
    </row>
    <row r="70" spans="1:22" s="890" customFormat="1" ht="15.75" customHeight="1">
      <c r="A70" s="882">
        <v>2</v>
      </c>
      <c r="B70" s="703" t="s">
        <v>177</v>
      </c>
      <c r="C70" s="708">
        <f>C71+C76</f>
        <v>32</v>
      </c>
      <c r="D70" s="977"/>
      <c r="E70" s="708">
        <f>E71+E76</f>
        <v>44</v>
      </c>
      <c r="F70" s="708"/>
      <c r="G70" s="708"/>
      <c r="H70" s="708">
        <f>H71+H76</f>
        <v>3520</v>
      </c>
      <c r="I70" s="708">
        <f>I71+I76</f>
        <v>211.2</v>
      </c>
      <c r="J70" s="708">
        <f>J71+J76</f>
        <v>211.2</v>
      </c>
      <c r="K70" s="1013">
        <v>0</v>
      </c>
      <c r="L70" s="1133">
        <v>0</v>
      </c>
      <c r="M70" s="1142"/>
      <c r="N70" s="1138"/>
      <c r="O70" s="1019"/>
      <c r="P70" s="1019"/>
      <c r="Q70" s="1019"/>
      <c r="R70" s="1020"/>
      <c r="S70" s="515"/>
      <c r="T70" s="515"/>
      <c r="U70" s="515"/>
      <c r="V70" s="515"/>
    </row>
    <row r="71" spans="1:22" s="887" customFormat="1" ht="15.75" customHeight="1">
      <c r="A71" s="1012" t="s">
        <v>154</v>
      </c>
      <c r="B71" s="896" t="s">
        <v>1378</v>
      </c>
      <c r="C71" s="884">
        <f>SUM(C72:C75)</f>
        <v>14</v>
      </c>
      <c r="D71" s="989"/>
      <c r="E71" s="884">
        <f>SUM(E72:E82)</f>
        <v>32</v>
      </c>
      <c r="F71" s="884"/>
      <c r="G71" s="884"/>
      <c r="H71" s="884">
        <f>SUM(H72:H75)</f>
        <v>1540</v>
      </c>
      <c r="I71" s="884">
        <f>SUM(I72:I75)</f>
        <v>92.399999999999991</v>
      </c>
      <c r="J71" s="884">
        <f>SUM(J72:J75)</f>
        <v>92.399999999999991</v>
      </c>
      <c r="K71" s="885">
        <v>0</v>
      </c>
      <c r="L71" s="1222">
        <v>0</v>
      </c>
      <c r="M71" s="1142"/>
      <c r="N71" s="1139"/>
      <c r="O71" s="999"/>
      <c r="P71" s="999"/>
      <c r="Q71" s="999"/>
      <c r="R71" s="1000"/>
      <c r="S71" s="512"/>
      <c r="T71" s="512"/>
      <c r="U71" s="512"/>
      <c r="V71" s="512"/>
    </row>
    <row r="72" spans="1:22" s="890" customFormat="1" ht="15.75" customHeight="1">
      <c r="A72" s="908" t="s">
        <v>155</v>
      </c>
      <c r="B72" s="918" t="s">
        <v>745</v>
      </c>
      <c r="C72" s="713">
        <v>5</v>
      </c>
      <c r="D72" s="966">
        <v>1</v>
      </c>
      <c r="E72" s="713">
        <v>2</v>
      </c>
      <c r="F72" s="713">
        <v>1</v>
      </c>
      <c r="G72" s="713">
        <v>110</v>
      </c>
      <c r="H72" s="713">
        <f t="shared" ref="H72:H75" si="28">C72*D72*G72</f>
        <v>550</v>
      </c>
      <c r="I72" s="713">
        <f>C72*E72*F72*16.5*20/100</f>
        <v>33</v>
      </c>
      <c r="J72" s="1013">
        <f>I72</f>
        <v>33</v>
      </c>
      <c r="K72" s="1013">
        <v>0</v>
      </c>
      <c r="L72" s="1133">
        <v>0</v>
      </c>
      <c r="M72" s="1142"/>
      <c r="N72" s="1136"/>
      <c r="O72" s="968"/>
      <c r="P72" s="968"/>
      <c r="Q72" s="968"/>
      <c r="R72" s="969"/>
      <c r="S72" s="515"/>
      <c r="T72" s="515"/>
      <c r="U72" s="515"/>
      <c r="V72" s="515"/>
    </row>
    <row r="73" spans="1:22" s="890" customFormat="1" ht="15.75" customHeight="1">
      <c r="A73" s="908" t="s">
        <v>156</v>
      </c>
      <c r="B73" s="918" t="s">
        <v>801</v>
      </c>
      <c r="C73" s="713">
        <v>3</v>
      </c>
      <c r="D73" s="966">
        <v>1</v>
      </c>
      <c r="E73" s="713">
        <v>2</v>
      </c>
      <c r="F73" s="713">
        <v>1</v>
      </c>
      <c r="G73" s="713">
        <v>110</v>
      </c>
      <c r="H73" s="713">
        <f t="shared" si="28"/>
        <v>330</v>
      </c>
      <c r="I73" s="713">
        <f t="shared" ref="I73:I75" si="29">C73*E73*F73*16.5*20/100</f>
        <v>19.8</v>
      </c>
      <c r="J73" s="1013">
        <f t="shared" ref="J73:J75" si="30">I73</f>
        <v>19.8</v>
      </c>
      <c r="K73" s="1013">
        <v>0</v>
      </c>
      <c r="L73" s="1133">
        <v>0</v>
      </c>
      <c r="M73" s="1142"/>
      <c r="N73" s="1136"/>
      <c r="O73" s="968"/>
      <c r="P73" s="968"/>
      <c r="Q73" s="968"/>
      <c r="R73" s="969"/>
      <c r="S73" s="515"/>
      <c r="T73" s="515"/>
      <c r="U73" s="515"/>
      <c r="V73" s="515"/>
    </row>
    <row r="74" spans="1:22" s="890" customFormat="1" ht="15.75" customHeight="1">
      <c r="A74" s="908" t="s">
        <v>157</v>
      </c>
      <c r="B74" s="918" t="s">
        <v>802</v>
      </c>
      <c r="C74" s="713">
        <v>3</v>
      </c>
      <c r="D74" s="966">
        <v>1</v>
      </c>
      <c r="E74" s="713">
        <v>2</v>
      </c>
      <c r="F74" s="713">
        <v>1</v>
      </c>
      <c r="G74" s="713">
        <v>110</v>
      </c>
      <c r="H74" s="713">
        <f t="shared" si="28"/>
        <v>330</v>
      </c>
      <c r="I74" s="713">
        <f t="shared" si="29"/>
        <v>19.8</v>
      </c>
      <c r="J74" s="1013">
        <f t="shared" si="30"/>
        <v>19.8</v>
      </c>
      <c r="K74" s="1013">
        <v>0</v>
      </c>
      <c r="L74" s="713">
        <v>0</v>
      </c>
      <c r="M74" s="1141"/>
      <c r="N74" s="968"/>
      <c r="O74" s="968"/>
      <c r="P74" s="968"/>
      <c r="Q74" s="968"/>
      <c r="R74" s="969"/>
      <c r="S74" s="515"/>
      <c r="T74" s="515"/>
      <c r="U74" s="515"/>
      <c r="V74" s="515"/>
    </row>
    <row r="75" spans="1:22" s="890" customFormat="1" ht="15.75" customHeight="1">
      <c r="A75" s="908" t="s">
        <v>158</v>
      </c>
      <c r="B75" s="918" t="s">
        <v>796</v>
      </c>
      <c r="C75" s="713">
        <v>3</v>
      </c>
      <c r="D75" s="966">
        <v>1</v>
      </c>
      <c r="E75" s="713">
        <v>2</v>
      </c>
      <c r="F75" s="713">
        <v>1</v>
      </c>
      <c r="G75" s="713">
        <v>110</v>
      </c>
      <c r="H75" s="713">
        <f t="shared" si="28"/>
        <v>330</v>
      </c>
      <c r="I75" s="713">
        <f t="shared" si="29"/>
        <v>19.8</v>
      </c>
      <c r="J75" s="1013">
        <f t="shared" si="30"/>
        <v>19.8</v>
      </c>
      <c r="K75" s="1013">
        <v>0</v>
      </c>
      <c r="L75" s="713">
        <v>0</v>
      </c>
      <c r="M75" s="968"/>
      <c r="N75" s="968"/>
      <c r="O75" s="968"/>
      <c r="P75" s="968"/>
      <c r="Q75" s="968"/>
      <c r="R75" s="969"/>
      <c r="S75" s="515"/>
      <c r="T75" s="515"/>
      <c r="U75" s="515"/>
      <c r="V75" s="515"/>
    </row>
    <row r="76" spans="1:22" s="890" customFormat="1" ht="15.75" customHeight="1">
      <c r="A76" s="908" t="s">
        <v>159</v>
      </c>
      <c r="B76" s="896" t="s">
        <v>1381</v>
      </c>
      <c r="C76" s="884">
        <f>SUM(C77:C82)</f>
        <v>18</v>
      </c>
      <c r="D76" s="989"/>
      <c r="E76" s="884">
        <f>SUM(E77:E82)</f>
        <v>12</v>
      </c>
      <c r="F76" s="884"/>
      <c r="G76" s="884"/>
      <c r="H76" s="884">
        <f>SUM(H77:H82)</f>
        <v>1980</v>
      </c>
      <c r="I76" s="884">
        <f>SUM(I77:I82)</f>
        <v>118.79999999999998</v>
      </c>
      <c r="J76" s="885">
        <f>SUM(J77:J82)</f>
        <v>118.79999999999998</v>
      </c>
      <c r="K76" s="885">
        <v>0</v>
      </c>
      <c r="L76" s="884">
        <v>0</v>
      </c>
      <c r="M76" s="968"/>
      <c r="N76" s="968"/>
      <c r="O76" s="968"/>
      <c r="P76" s="968"/>
      <c r="Q76" s="968"/>
      <c r="R76" s="969"/>
      <c r="S76" s="515"/>
      <c r="T76" s="515"/>
      <c r="U76" s="515"/>
      <c r="V76" s="515"/>
    </row>
    <row r="77" spans="1:22" s="890" customFormat="1" ht="15.75" customHeight="1">
      <c r="A77" s="908" t="s">
        <v>163</v>
      </c>
      <c r="B77" s="918" t="s">
        <v>746</v>
      </c>
      <c r="C77" s="713">
        <v>2</v>
      </c>
      <c r="D77" s="966">
        <v>1</v>
      </c>
      <c r="E77" s="713">
        <v>2</v>
      </c>
      <c r="F77" s="713">
        <v>1</v>
      </c>
      <c r="G77" s="713">
        <v>110</v>
      </c>
      <c r="H77" s="713">
        <f t="shared" ref="H77:H82" si="31">C77*D77*G77</f>
        <v>220</v>
      </c>
      <c r="I77" s="713">
        <f t="shared" ref="I77:I82" si="32">C77*E77*F77*16.5*20/100</f>
        <v>13.2</v>
      </c>
      <c r="J77" s="1013">
        <f t="shared" ref="J77:J82" si="33">I77</f>
        <v>13.2</v>
      </c>
      <c r="K77" s="1013">
        <v>0</v>
      </c>
      <c r="L77" s="713">
        <v>0</v>
      </c>
      <c r="M77" s="968"/>
      <c r="N77" s="968"/>
      <c r="O77" s="968"/>
      <c r="P77" s="968"/>
      <c r="Q77" s="968"/>
      <c r="R77" s="969"/>
      <c r="S77" s="515"/>
      <c r="T77" s="515"/>
      <c r="U77" s="515"/>
      <c r="V77" s="515"/>
    </row>
    <row r="78" spans="1:22" s="890" customFormat="1" ht="15.75" customHeight="1">
      <c r="A78" s="908" t="s">
        <v>164</v>
      </c>
      <c r="B78" s="918" t="s">
        <v>800</v>
      </c>
      <c r="C78" s="713">
        <v>2</v>
      </c>
      <c r="D78" s="966">
        <v>1</v>
      </c>
      <c r="E78" s="713">
        <v>2</v>
      </c>
      <c r="F78" s="713">
        <v>1</v>
      </c>
      <c r="G78" s="713">
        <v>110</v>
      </c>
      <c r="H78" s="713">
        <f t="shared" si="31"/>
        <v>220</v>
      </c>
      <c r="I78" s="713">
        <f t="shared" si="32"/>
        <v>13.2</v>
      </c>
      <c r="J78" s="1013">
        <f t="shared" si="33"/>
        <v>13.2</v>
      </c>
      <c r="K78" s="1013">
        <v>0</v>
      </c>
      <c r="L78" s="713">
        <v>0</v>
      </c>
      <c r="M78" s="968"/>
      <c r="N78" s="968"/>
      <c r="O78" s="968"/>
      <c r="P78" s="968"/>
      <c r="Q78" s="968"/>
      <c r="R78" s="969"/>
      <c r="S78" s="515"/>
      <c r="T78" s="515"/>
      <c r="U78" s="515"/>
      <c r="V78" s="515"/>
    </row>
    <row r="79" spans="1:22" s="890" customFormat="1" ht="15.75" customHeight="1">
      <c r="A79" s="908" t="s">
        <v>165</v>
      </c>
      <c r="B79" s="918" t="s">
        <v>792</v>
      </c>
      <c r="C79" s="713">
        <v>2</v>
      </c>
      <c r="D79" s="966">
        <v>1</v>
      </c>
      <c r="E79" s="713">
        <v>2</v>
      </c>
      <c r="F79" s="713">
        <v>1</v>
      </c>
      <c r="G79" s="713">
        <v>110</v>
      </c>
      <c r="H79" s="713">
        <f t="shared" si="31"/>
        <v>220</v>
      </c>
      <c r="I79" s="713">
        <f t="shared" si="32"/>
        <v>13.2</v>
      </c>
      <c r="J79" s="1013">
        <f t="shared" si="33"/>
        <v>13.2</v>
      </c>
      <c r="K79" s="1013">
        <v>0</v>
      </c>
      <c r="L79" s="713">
        <v>0</v>
      </c>
      <c r="M79" s="968"/>
      <c r="N79" s="968"/>
      <c r="O79" s="968"/>
      <c r="P79" s="968"/>
      <c r="Q79" s="968"/>
      <c r="R79" s="969"/>
      <c r="S79" s="515"/>
      <c r="T79" s="515"/>
      <c r="U79" s="515"/>
      <c r="V79" s="515"/>
    </row>
    <row r="80" spans="1:22" s="890" customFormat="1" ht="15.75" customHeight="1">
      <c r="A80" s="908" t="s">
        <v>166</v>
      </c>
      <c r="B80" s="918" t="s">
        <v>756</v>
      </c>
      <c r="C80" s="713">
        <v>5</v>
      </c>
      <c r="D80" s="966">
        <v>1</v>
      </c>
      <c r="E80" s="713">
        <v>2</v>
      </c>
      <c r="F80" s="713">
        <v>1</v>
      </c>
      <c r="G80" s="713">
        <v>110</v>
      </c>
      <c r="H80" s="713">
        <f t="shared" si="31"/>
        <v>550</v>
      </c>
      <c r="I80" s="713">
        <f t="shared" si="32"/>
        <v>33</v>
      </c>
      <c r="J80" s="1013">
        <f t="shared" si="33"/>
        <v>33</v>
      </c>
      <c r="K80" s="1013">
        <v>0</v>
      </c>
      <c r="L80" s="713">
        <v>0</v>
      </c>
      <c r="M80" s="968"/>
      <c r="N80" s="968"/>
      <c r="O80" s="968"/>
      <c r="P80" s="968"/>
      <c r="Q80" s="968"/>
      <c r="R80" s="969"/>
      <c r="S80" s="515"/>
      <c r="T80" s="515"/>
      <c r="U80" s="515"/>
      <c r="V80" s="515"/>
    </row>
    <row r="81" spans="1:22" s="890" customFormat="1" ht="15.75" customHeight="1">
      <c r="A81" s="908" t="s">
        <v>168</v>
      </c>
      <c r="B81" s="918" t="s">
        <v>803</v>
      </c>
      <c r="C81" s="713">
        <v>3</v>
      </c>
      <c r="D81" s="966">
        <v>1</v>
      </c>
      <c r="E81" s="713">
        <v>2</v>
      </c>
      <c r="F81" s="713">
        <v>1</v>
      </c>
      <c r="G81" s="713">
        <v>110</v>
      </c>
      <c r="H81" s="713">
        <f t="shared" si="31"/>
        <v>330</v>
      </c>
      <c r="I81" s="713">
        <f t="shared" si="32"/>
        <v>19.8</v>
      </c>
      <c r="J81" s="1013">
        <f t="shared" si="33"/>
        <v>19.8</v>
      </c>
      <c r="K81" s="1013">
        <v>0</v>
      </c>
      <c r="L81" s="713">
        <v>0</v>
      </c>
      <c r="M81" s="968"/>
      <c r="N81" s="968"/>
      <c r="O81" s="968"/>
      <c r="P81" s="968"/>
      <c r="Q81" s="968"/>
      <c r="R81" s="969"/>
      <c r="S81" s="515"/>
      <c r="T81" s="515"/>
      <c r="U81" s="515"/>
      <c r="V81" s="515"/>
    </row>
    <row r="82" spans="1:22" s="890" customFormat="1" ht="15.75" customHeight="1" thickBot="1">
      <c r="A82" s="942" t="s">
        <v>978</v>
      </c>
      <c r="B82" s="1001" t="s">
        <v>804</v>
      </c>
      <c r="C82" s="734">
        <v>4</v>
      </c>
      <c r="D82" s="1002">
        <v>1</v>
      </c>
      <c r="E82" s="734">
        <v>2</v>
      </c>
      <c r="F82" s="734">
        <v>1</v>
      </c>
      <c r="G82" s="734">
        <v>110</v>
      </c>
      <c r="H82" s="734">
        <f t="shared" si="31"/>
        <v>440</v>
      </c>
      <c r="I82" s="734">
        <f t="shared" si="32"/>
        <v>26.4</v>
      </c>
      <c r="J82" s="1015">
        <f t="shared" si="33"/>
        <v>26.4</v>
      </c>
      <c r="K82" s="1015">
        <v>0</v>
      </c>
      <c r="L82" s="734">
        <v>0</v>
      </c>
      <c r="M82" s="1004"/>
      <c r="N82" s="1004"/>
      <c r="O82" s="1004"/>
      <c r="P82" s="1004"/>
      <c r="Q82" s="1004"/>
      <c r="R82" s="1005"/>
      <c r="S82" s="515"/>
      <c r="T82" s="515"/>
      <c r="U82" s="515"/>
      <c r="V82" s="515"/>
    </row>
    <row r="83" spans="1:22" s="872" customFormat="1" ht="21" customHeight="1">
      <c r="A83" s="519"/>
      <c r="B83" s="519"/>
      <c r="C83" s="520"/>
      <c r="D83" s="1261"/>
      <c r="E83" s="520"/>
      <c r="F83" s="520"/>
      <c r="G83" s="520"/>
      <c r="H83" s="520"/>
      <c r="I83" s="520"/>
      <c r="J83" s="520"/>
      <c r="K83" s="520"/>
      <c r="L83" s="520"/>
      <c r="M83" s="1358" t="s">
        <v>42</v>
      </c>
      <c r="N83" s="1358"/>
      <c r="O83" s="1358"/>
      <c r="P83" s="1358"/>
      <c r="Q83" s="1358"/>
      <c r="R83" s="1358"/>
      <c r="S83" s="501"/>
      <c r="T83" s="501"/>
      <c r="U83" s="501"/>
      <c r="V83" s="501"/>
    </row>
    <row r="84" spans="1:22" s="872" customFormat="1" ht="21" customHeight="1">
      <c r="A84" s="519"/>
      <c r="B84" s="519"/>
      <c r="C84" s="520"/>
      <c r="D84" s="1261"/>
      <c r="E84" s="520"/>
      <c r="F84" s="520"/>
      <c r="G84" s="520"/>
      <c r="H84" s="520"/>
      <c r="I84" s="520"/>
      <c r="J84" s="520"/>
      <c r="K84" s="520"/>
      <c r="L84" s="520"/>
      <c r="M84" s="1359" t="s">
        <v>1429</v>
      </c>
      <c r="N84" s="1359"/>
      <c r="O84" s="1359"/>
      <c r="P84" s="1359"/>
      <c r="Q84" s="1359"/>
      <c r="R84" s="1359"/>
      <c r="S84" s="501"/>
      <c r="T84" s="501"/>
      <c r="U84" s="501"/>
      <c r="V84" s="501"/>
    </row>
    <row r="85" spans="1:22" ht="21" customHeight="1">
      <c r="A85" s="519"/>
      <c r="B85" s="1356"/>
      <c r="C85" s="1356"/>
      <c r="D85" s="1356"/>
      <c r="E85" s="1356"/>
      <c r="F85" s="1356"/>
      <c r="G85" s="1356"/>
      <c r="H85" s="1356"/>
      <c r="I85" s="1356"/>
      <c r="J85" s="1356"/>
      <c r="K85" s="1356"/>
      <c r="L85" s="1356"/>
      <c r="M85" s="520"/>
      <c r="N85" s="520"/>
      <c r="O85" s="520"/>
      <c r="P85" s="520"/>
      <c r="Q85" s="520"/>
      <c r="R85" s="676"/>
      <c r="S85" s="501"/>
      <c r="T85" s="501"/>
      <c r="U85" s="501"/>
      <c r="V85" s="501"/>
    </row>
    <row r="86" spans="1:22" ht="39.75" customHeight="1">
      <c r="A86" s="519"/>
      <c r="B86" s="1357" t="s">
        <v>180</v>
      </c>
      <c r="C86" s="1357"/>
      <c r="D86" s="1357"/>
      <c r="E86" s="1357"/>
      <c r="F86" s="1357"/>
      <c r="G86" s="1357"/>
      <c r="H86" s="1357"/>
      <c r="I86" s="1357"/>
      <c r="J86" s="1357"/>
      <c r="K86" s="1357"/>
      <c r="L86" s="1357"/>
      <c r="M86" s="520"/>
      <c r="N86" s="520"/>
      <c r="O86" s="520"/>
      <c r="P86" s="520"/>
      <c r="Q86" s="520"/>
      <c r="R86" s="676"/>
      <c r="S86" s="501"/>
      <c r="T86" s="501"/>
      <c r="U86" s="501"/>
      <c r="V86" s="501"/>
    </row>
    <row r="87" spans="1:22" ht="20.25" customHeight="1">
      <c r="A87" s="519"/>
      <c r="B87" s="1322" t="s">
        <v>181</v>
      </c>
      <c r="C87" s="1322"/>
      <c r="D87" s="1322"/>
      <c r="E87" s="1322"/>
      <c r="F87" s="1322"/>
      <c r="G87" s="1322"/>
      <c r="H87" s="1322"/>
      <c r="I87" s="1322"/>
      <c r="J87" s="1322"/>
      <c r="K87" s="1322"/>
      <c r="L87" s="1322"/>
      <c r="M87" s="1338" t="s">
        <v>1430</v>
      </c>
      <c r="N87" s="1338"/>
      <c r="O87" s="1338"/>
      <c r="P87" s="1338"/>
      <c r="Q87" s="1338"/>
      <c r="R87" s="1338"/>
      <c r="S87" s="501"/>
      <c r="T87" s="501"/>
      <c r="U87" s="501"/>
      <c r="V87" s="501"/>
    </row>
    <row r="88" spans="1:22" ht="15" customHeight="1">
      <c r="A88" s="519"/>
      <c r="B88" s="521" t="s">
        <v>182</v>
      </c>
      <c r="C88" s="522"/>
      <c r="D88" s="1261"/>
      <c r="E88" s="522"/>
      <c r="F88" s="522"/>
      <c r="G88" s="522"/>
      <c r="H88" s="522"/>
      <c r="I88" s="522"/>
      <c r="J88" s="522"/>
      <c r="K88" s="522"/>
      <c r="L88" s="522"/>
      <c r="M88" s="520"/>
      <c r="N88" s="520"/>
      <c r="O88" s="520"/>
      <c r="P88" s="520"/>
      <c r="Q88" s="520"/>
      <c r="R88" s="519"/>
      <c r="S88" s="501"/>
      <c r="T88" s="501"/>
      <c r="U88" s="501"/>
      <c r="V88" s="501"/>
    </row>
    <row r="89" spans="1:22">
      <c r="A89" s="519"/>
      <c r="B89" s="521" t="s">
        <v>183</v>
      </c>
      <c r="C89" s="520"/>
      <c r="D89" s="1261"/>
      <c r="E89" s="520"/>
      <c r="F89" s="520"/>
      <c r="G89" s="520"/>
      <c r="H89" s="520"/>
      <c r="I89" s="520"/>
      <c r="J89" s="520"/>
      <c r="K89" s="520"/>
      <c r="L89" s="520"/>
      <c r="M89" s="520"/>
      <c r="N89" s="520"/>
      <c r="O89" s="520"/>
      <c r="P89" s="520"/>
      <c r="Q89" s="520"/>
      <c r="R89" s="501"/>
      <c r="S89" s="501"/>
      <c r="T89" s="501"/>
      <c r="U89" s="501"/>
      <c r="V89" s="501"/>
    </row>
    <row r="90" spans="1:22">
      <c r="A90" s="519"/>
      <c r="B90" s="521" t="s">
        <v>184</v>
      </c>
      <c r="C90" s="520"/>
      <c r="D90" s="1261"/>
      <c r="E90" s="520"/>
      <c r="F90" s="520"/>
      <c r="G90" s="520"/>
      <c r="H90" s="520"/>
      <c r="I90" s="520"/>
      <c r="J90" s="520"/>
      <c r="K90" s="520"/>
      <c r="L90" s="520"/>
      <c r="M90" s="520"/>
      <c r="N90" s="520"/>
      <c r="O90" s="520"/>
      <c r="P90" s="520"/>
      <c r="Q90" s="520"/>
      <c r="R90" s="501"/>
      <c r="S90" s="501"/>
      <c r="T90" s="501"/>
      <c r="U90" s="501"/>
      <c r="V90" s="501"/>
    </row>
    <row r="91" spans="1:22">
      <c r="A91" s="519"/>
      <c r="B91" s="521" t="s">
        <v>185</v>
      </c>
      <c r="C91" s="520"/>
      <c r="D91" s="1261"/>
      <c r="E91" s="520"/>
      <c r="F91" s="520"/>
      <c r="G91" s="520"/>
      <c r="H91" s="520"/>
      <c r="I91" s="520"/>
      <c r="J91" s="520"/>
      <c r="K91" s="520"/>
      <c r="L91" s="520"/>
      <c r="M91" s="520"/>
      <c r="N91" s="520"/>
      <c r="O91" s="520"/>
      <c r="P91" s="520"/>
      <c r="Q91" s="520"/>
      <c r="R91" s="501"/>
      <c r="S91" s="501"/>
      <c r="T91" s="501"/>
      <c r="U91" s="501"/>
      <c r="V91" s="501"/>
    </row>
    <row r="92" spans="1:22">
      <c r="A92" s="519"/>
      <c r="B92" s="519"/>
      <c r="C92" s="523"/>
      <c r="D92" s="1262"/>
      <c r="E92" s="523"/>
      <c r="F92" s="523"/>
      <c r="G92" s="523"/>
      <c r="H92" s="523"/>
      <c r="I92" s="520"/>
      <c r="J92" s="520"/>
      <c r="K92" s="520"/>
      <c r="L92" s="520"/>
      <c r="M92" s="520"/>
      <c r="N92" s="520"/>
      <c r="O92" s="520"/>
      <c r="P92" s="520"/>
      <c r="Q92" s="520"/>
      <c r="R92" s="501"/>
      <c r="S92" s="501"/>
      <c r="T92" s="501"/>
      <c r="U92" s="501"/>
      <c r="V92" s="501"/>
    </row>
    <row r="93" spans="1:22">
      <c r="A93" s="519"/>
      <c r="B93" s="519"/>
      <c r="C93" s="523"/>
      <c r="D93" s="1262"/>
      <c r="E93" s="523"/>
      <c r="F93" s="523"/>
      <c r="G93" s="523"/>
      <c r="H93" s="523"/>
      <c r="I93" s="520"/>
      <c r="J93" s="520"/>
      <c r="K93" s="520"/>
      <c r="L93" s="520"/>
      <c r="M93" s="520"/>
      <c r="N93" s="520"/>
      <c r="O93" s="520"/>
      <c r="P93" s="520"/>
      <c r="Q93" s="520"/>
      <c r="R93" s="501"/>
      <c r="S93" s="501"/>
      <c r="T93" s="501"/>
      <c r="U93" s="501"/>
      <c r="V93" s="501"/>
    </row>
    <row r="94" spans="1:22" ht="13.5" customHeight="1">
      <c r="A94" s="519"/>
      <c r="B94" s="519"/>
      <c r="C94" s="521"/>
      <c r="D94" s="1263"/>
      <c r="E94" s="521"/>
      <c r="F94" s="521"/>
      <c r="G94" s="521"/>
      <c r="H94" s="521"/>
      <c r="I94" s="520"/>
      <c r="J94" s="520"/>
      <c r="K94" s="520"/>
      <c r="L94" s="520"/>
      <c r="M94" s="520"/>
      <c r="N94" s="520"/>
      <c r="O94" s="520"/>
      <c r="P94" s="520"/>
      <c r="Q94" s="520"/>
      <c r="R94" s="501"/>
      <c r="S94" s="501"/>
      <c r="T94" s="501"/>
      <c r="U94" s="501"/>
      <c r="V94" s="501"/>
    </row>
    <row r="95" spans="1:22">
      <c r="A95" s="519"/>
      <c r="B95" s="519"/>
      <c r="C95" s="520"/>
      <c r="D95" s="1261"/>
      <c r="E95" s="520"/>
      <c r="F95" s="520"/>
      <c r="G95" s="520"/>
      <c r="H95" s="520"/>
      <c r="I95" s="520"/>
      <c r="J95" s="520"/>
      <c r="K95" s="520"/>
      <c r="L95" s="520"/>
      <c r="M95" s="520"/>
      <c r="N95" s="520"/>
      <c r="O95" s="520"/>
      <c r="P95" s="520"/>
      <c r="Q95" s="520"/>
      <c r="R95" s="501"/>
      <c r="S95" s="501"/>
      <c r="T95" s="501"/>
      <c r="U95" s="501"/>
      <c r="V95" s="501"/>
    </row>
    <row r="96" spans="1:22">
      <c r="A96" s="519"/>
      <c r="B96" s="519"/>
      <c r="C96" s="520"/>
      <c r="D96" s="1261"/>
      <c r="E96" s="520"/>
      <c r="F96" s="520"/>
      <c r="G96" s="520"/>
      <c r="H96" s="520"/>
      <c r="I96" s="520"/>
      <c r="J96" s="520"/>
      <c r="K96" s="520"/>
      <c r="L96" s="520"/>
      <c r="M96" s="520"/>
      <c r="N96" s="520"/>
      <c r="O96" s="520"/>
      <c r="P96" s="520"/>
      <c r="Q96" s="520"/>
      <c r="R96" s="501"/>
      <c r="S96" s="501"/>
      <c r="T96" s="501"/>
      <c r="U96" s="501"/>
      <c r="V96" s="501"/>
    </row>
    <row r="97" spans="1:22">
      <c r="A97" s="519"/>
      <c r="B97" s="519"/>
      <c r="C97" s="520"/>
      <c r="D97" s="1261"/>
      <c r="E97" s="520"/>
      <c r="F97" s="520"/>
      <c r="G97" s="520"/>
      <c r="H97" s="520"/>
      <c r="I97" s="520"/>
      <c r="J97" s="520"/>
      <c r="K97" s="520"/>
      <c r="L97" s="520"/>
      <c r="M97" s="520"/>
      <c r="N97" s="520"/>
      <c r="O97" s="520"/>
      <c r="P97" s="520"/>
      <c r="Q97" s="520"/>
      <c r="R97" s="501"/>
      <c r="S97" s="501"/>
      <c r="T97" s="501"/>
      <c r="U97" s="501"/>
      <c r="V97" s="501"/>
    </row>
    <row r="98" spans="1:22">
      <c r="A98" s="519"/>
      <c r="B98" s="519"/>
      <c r="C98" s="520"/>
      <c r="D98" s="1261"/>
      <c r="E98" s="520"/>
      <c r="F98" s="520"/>
      <c r="G98" s="520"/>
      <c r="H98" s="520"/>
      <c r="I98" s="520"/>
      <c r="J98" s="520"/>
      <c r="K98" s="520"/>
      <c r="L98" s="520"/>
      <c r="M98" s="520"/>
      <c r="N98" s="520"/>
      <c r="O98" s="520"/>
      <c r="P98" s="520"/>
      <c r="Q98" s="520"/>
      <c r="R98" s="501"/>
      <c r="S98" s="501"/>
      <c r="T98" s="501"/>
      <c r="U98" s="501"/>
      <c r="V98" s="501"/>
    </row>
    <row r="99" spans="1:22">
      <c r="A99" s="519"/>
      <c r="B99" s="519"/>
      <c r="C99" s="520"/>
      <c r="D99" s="1261"/>
      <c r="E99" s="520"/>
      <c r="F99" s="520"/>
      <c r="G99" s="520"/>
      <c r="H99" s="520"/>
      <c r="I99" s="520"/>
      <c r="J99" s="520"/>
      <c r="K99" s="520"/>
      <c r="L99" s="520"/>
      <c r="M99" s="520"/>
      <c r="N99" s="520"/>
      <c r="O99" s="520"/>
      <c r="P99" s="520"/>
      <c r="Q99" s="520"/>
      <c r="R99" s="501"/>
      <c r="S99" s="501"/>
      <c r="T99" s="501"/>
      <c r="U99" s="501"/>
      <c r="V99" s="501"/>
    </row>
    <row r="100" spans="1:22">
      <c r="A100" s="519"/>
      <c r="B100" s="519"/>
      <c r="C100" s="520"/>
      <c r="D100" s="1261"/>
      <c r="E100" s="520"/>
      <c r="F100" s="520"/>
      <c r="G100" s="520"/>
      <c r="H100" s="520"/>
      <c r="I100" s="520"/>
      <c r="J100" s="520"/>
      <c r="K100" s="520"/>
      <c r="L100" s="520"/>
      <c r="M100" s="520"/>
      <c r="N100" s="520"/>
      <c r="O100" s="520"/>
      <c r="P100" s="520"/>
      <c r="Q100" s="520"/>
      <c r="R100" s="501"/>
      <c r="S100" s="501"/>
      <c r="T100" s="501"/>
      <c r="U100" s="501"/>
      <c r="V100" s="501"/>
    </row>
    <row r="101" spans="1:22">
      <c r="A101" s="519"/>
      <c r="B101" s="519"/>
      <c r="C101" s="520"/>
      <c r="D101" s="1261"/>
      <c r="E101" s="520"/>
      <c r="F101" s="520"/>
      <c r="G101" s="520"/>
      <c r="H101" s="520"/>
      <c r="I101" s="520"/>
      <c r="J101" s="520"/>
      <c r="K101" s="520"/>
      <c r="L101" s="520"/>
      <c r="M101" s="520"/>
      <c r="N101" s="520"/>
      <c r="O101" s="520"/>
      <c r="P101" s="520"/>
      <c r="Q101" s="520"/>
      <c r="R101" s="501"/>
      <c r="S101" s="501"/>
      <c r="T101" s="501"/>
      <c r="U101" s="501"/>
      <c r="V101" s="501"/>
    </row>
    <row r="102" spans="1:22">
      <c r="A102" s="519"/>
      <c r="B102" s="519"/>
      <c r="C102" s="520"/>
      <c r="D102" s="1261"/>
      <c r="E102" s="520"/>
      <c r="F102" s="520"/>
      <c r="G102" s="520"/>
      <c r="H102" s="520"/>
      <c r="I102" s="520"/>
      <c r="J102" s="520"/>
      <c r="K102" s="520"/>
      <c r="L102" s="520"/>
      <c r="M102" s="520"/>
      <c r="N102" s="520"/>
      <c r="O102" s="520"/>
      <c r="P102" s="520"/>
      <c r="Q102" s="520"/>
      <c r="R102" s="501"/>
      <c r="S102" s="501"/>
      <c r="T102" s="501"/>
      <c r="U102" s="501"/>
      <c r="V102" s="501"/>
    </row>
    <row r="103" spans="1:22">
      <c r="A103" s="519"/>
      <c r="B103" s="519"/>
      <c r="C103" s="520"/>
      <c r="D103" s="1261"/>
      <c r="E103" s="520"/>
      <c r="F103" s="520"/>
      <c r="G103" s="520"/>
      <c r="H103" s="520"/>
      <c r="I103" s="520"/>
      <c r="J103" s="520"/>
      <c r="K103" s="520"/>
      <c r="L103" s="520"/>
      <c r="M103" s="520"/>
      <c r="N103" s="520"/>
      <c r="O103" s="520"/>
      <c r="P103" s="520"/>
      <c r="Q103" s="520"/>
      <c r="R103" s="501"/>
      <c r="S103" s="501"/>
      <c r="T103" s="501"/>
      <c r="U103" s="501"/>
      <c r="V103" s="501"/>
    </row>
    <row r="104" spans="1:22">
      <c r="A104" s="519"/>
      <c r="B104" s="519"/>
      <c r="C104" s="520"/>
      <c r="D104" s="1261"/>
      <c r="E104" s="520"/>
      <c r="F104" s="520"/>
      <c r="G104" s="520"/>
      <c r="H104" s="520"/>
      <c r="I104" s="520"/>
      <c r="J104" s="520"/>
      <c r="K104" s="520"/>
      <c r="L104" s="520"/>
      <c r="M104" s="520"/>
      <c r="N104" s="520"/>
      <c r="O104" s="520"/>
      <c r="P104" s="520"/>
      <c r="Q104" s="520"/>
      <c r="R104" s="501"/>
      <c r="S104" s="501"/>
      <c r="T104" s="501"/>
      <c r="U104" s="501"/>
      <c r="V104" s="501"/>
    </row>
    <row r="105" spans="1:22">
      <c r="A105" s="519"/>
      <c r="B105" s="519"/>
      <c r="C105" s="520"/>
      <c r="D105" s="1261"/>
      <c r="E105" s="520"/>
      <c r="F105" s="520"/>
      <c r="G105" s="520"/>
      <c r="H105" s="520"/>
      <c r="I105" s="520"/>
      <c r="J105" s="520"/>
      <c r="K105" s="520"/>
      <c r="L105" s="520"/>
      <c r="M105" s="520"/>
      <c r="N105" s="520"/>
      <c r="O105" s="520"/>
      <c r="P105" s="520"/>
      <c r="Q105" s="520"/>
      <c r="R105" s="501"/>
      <c r="S105" s="501"/>
      <c r="T105" s="501"/>
      <c r="U105" s="501"/>
      <c r="V105" s="501"/>
    </row>
    <row r="106" spans="1:22">
      <c r="A106" s="519"/>
      <c r="B106" s="519"/>
      <c r="C106" s="520"/>
      <c r="D106" s="1261"/>
      <c r="E106" s="520"/>
      <c r="F106" s="520"/>
      <c r="G106" s="520"/>
      <c r="H106" s="520"/>
      <c r="I106" s="520"/>
      <c r="J106" s="520"/>
      <c r="K106" s="520"/>
      <c r="L106" s="520"/>
      <c r="M106" s="520"/>
      <c r="N106" s="520"/>
      <c r="O106" s="520"/>
      <c r="P106" s="520"/>
      <c r="Q106" s="520"/>
      <c r="R106" s="501"/>
      <c r="S106" s="501"/>
      <c r="T106" s="501"/>
      <c r="U106" s="501"/>
      <c r="V106" s="501"/>
    </row>
    <row r="107" spans="1:22">
      <c r="A107" s="519"/>
      <c r="B107" s="519"/>
      <c r="C107" s="520"/>
      <c r="D107" s="1261"/>
      <c r="E107" s="520"/>
      <c r="F107" s="520"/>
      <c r="G107" s="520"/>
      <c r="H107" s="520"/>
      <c r="I107" s="520"/>
      <c r="J107" s="520"/>
      <c r="K107" s="520"/>
      <c r="L107" s="520"/>
      <c r="M107" s="520"/>
      <c r="N107" s="520"/>
      <c r="O107" s="520"/>
      <c r="P107" s="520"/>
      <c r="Q107" s="520"/>
      <c r="R107" s="501"/>
      <c r="S107" s="501"/>
      <c r="T107" s="501"/>
      <c r="U107" s="501"/>
      <c r="V107" s="501"/>
    </row>
    <row r="108" spans="1:22">
      <c r="A108" s="519"/>
      <c r="B108" s="519"/>
      <c r="C108" s="520"/>
      <c r="D108" s="1261"/>
      <c r="E108" s="520"/>
      <c r="F108" s="520"/>
      <c r="G108" s="520"/>
      <c r="H108" s="520"/>
      <c r="I108" s="520"/>
      <c r="J108" s="520"/>
      <c r="K108" s="520"/>
      <c r="L108" s="520"/>
      <c r="M108" s="520"/>
      <c r="N108" s="520"/>
      <c r="O108" s="520"/>
      <c r="P108" s="520"/>
      <c r="Q108" s="520"/>
      <c r="R108" s="501"/>
      <c r="S108" s="501"/>
      <c r="T108" s="501"/>
      <c r="U108" s="501"/>
      <c r="V108" s="501"/>
    </row>
    <row r="109" spans="1:22">
      <c r="A109" s="519"/>
      <c r="B109" s="519"/>
      <c r="C109" s="520"/>
      <c r="D109" s="1261"/>
      <c r="E109" s="520"/>
      <c r="F109" s="520"/>
      <c r="G109" s="520"/>
      <c r="H109" s="520"/>
      <c r="I109" s="520"/>
      <c r="J109" s="520"/>
      <c r="K109" s="520"/>
      <c r="L109" s="520"/>
      <c r="M109" s="520"/>
      <c r="N109" s="520"/>
      <c r="O109" s="520"/>
      <c r="P109" s="520"/>
      <c r="Q109" s="520"/>
      <c r="R109" s="501"/>
      <c r="S109" s="501"/>
      <c r="T109" s="501"/>
      <c r="U109" s="501"/>
      <c r="V109" s="501"/>
    </row>
    <row r="110" spans="1:22">
      <c r="A110" s="519"/>
      <c r="B110" s="519"/>
      <c r="C110" s="520"/>
      <c r="D110" s="1261"/>
      <c r="E110" s="520"/>
      <c r="F110" s="520"/>
      <c r="G110" s="520"/>
      <c r="H110" s="520"/>
      <c r="I110" s="520"/>
      <c r="J110" s="520"/>
      <c r="K110" s="520"/>
      <c r="L110" s="520"/>
      <c r="M110" s="520"/>
      <c r="N110" s="520"/>
      <c r="O110" s="520"/>
      <c r="P110" s="520"/>
      <c r="Q110" s="520"/>
      <c r="R110" s="501"/>
      <c r="S110" s="501"/>
      <c r="T110" s="501"/>
      <c r="U110" s="501"/>
      <c r="V110" s="501"/>
    </row>
    <row r="111" spans="1:22">
      <c r="A111" s="519"/>
      <c r="B111" s="519"/>
      <c r="C111" s="520"/>
      <c r="D111" s="1261"/>
      <c r="E111" s="520"/>
      <c r="F111" s="520"/>
      <c r="G111" s="520"/>
      <c r="H111" s="520"/>
      <c r="I111" s="520"/>
      <c r="J111" s="520"/>
      <c r="K111" s="520"/>
      <c r="L111" s="520"/>
      <c r="M111" s="520"/>
      <c r="N111" s="520"/>
      <c r="O111" s="520"/>
      <c r="P111" s="520"/>
      <c r="Q111" s="520"/>
      <c r="R111" s="501"/>
      <c r="S111" s="501"/>
      <c r="T111" s="501"/>
      <c r="U111" s="501"/>
      <c r="V111" s="501"/>
    </row>
    <row r="112" spans="1:22">
      <c r="A112" s="519"/>
      <c r="B112" s="519"/>
      <c r="C112" s="520"/>
      <c r="D112" s="1261"/>
      <c r="E112" s="520"/>
      <c r="F112" s="520"/>
      <c r="G112" s="520"/>
      <c r="H112" s="520"/>
      <c r="I112" s="520"/>
      <c r="J112" s="520"/>
      <c r="K112" s="520"/>
      <c r="L112" s="520"/>
      <c r="M112" s="520"/>
      <c r="N112" s="520"/>
      <c r="O112" s="520"/>
      <c r="P112" s="520"/>
      <c r="Q112" s="520"/>
      <c r="R112" s="501"/>
      <c r="S112" s="501"/>
      <c r="T112" s="501"/>
      <c r="U112" s="501"/>
      <c r="V112" s="501"/>
    </row>
    <row r="113" spans="1:22">
      <c r="A113" s="519"/>
      <c r="B113" s="519"/>
      <c r="C113" s="520"/>
      <c r="D113" s="1261"/>
      <c r="E113" s="520"/>
      <c r="F113" s="520"/>
      <c r="G113" s="520"/>
      <c r="H113" s="520"/>
      <c r="I113" s="520"/>
      <c r="J113" s="520"/>
      <c r="K113" s="520"/>
      <c r="L113" s="520"/>
      <c r="M113" s="520"/>
      <c r="N113" s="520"/>
      <c r="O113" s="520"/>
      <c r="P113" s="520"/>
      <c r="Q113" s="520"/>
      <c r="R113" s="501"/>
      <c r="S113" s="501"/>
      <c r="T113" s="501"/>
      <c r="U113" s="501"/>
      <c r="V113" s="501"/>
    </row>
    <row r="114" spans="1:22">
      <c r="A114" s="519"/>
      <c r="B114" s="519"/>
      <c r="C114" s="520"/>
      <c r="D114" s="1261"/>
      <c r="E114" s="520"/>
      <c r="F114" s="520"/>
      <c r="G114" s="520"/>
      <c r="H114" s="520"/>
      <c r="I114" s="520"/>
      <c r="J114" s="520"/>
      <c r="K114" s="520"/>
      <c r="L114" s="520"/>
      <c r="M114" s="520"/>
      <c r="N114" s="520"/>
      <c r="O114" s="520"/>
      <c r="P114" s="520"/>
      <c r="Q114" s="520"/>
      <c r="R114" s="501"/>
      <c r="S114" s="501"/>
      <c r="T114" s="501"/>
      <c r="U114" s="501"/>
      <c r="V114" s="501"/>
    </row>
    <row r="115" spans="1:22">
      <c r="A115" s="519"/>
      <c r="B115" s="519"/>
      <c r="C115" s="520"/>
      <c r="D115" s="1261"/>
      <c r="E115" s="520"/>
      <c r="F115" s="520"/>
      <c r="G115" s="520"/>
      <c r="H115" s="520"/>
      <c r="I115" s="520"/>
      <c r="J115" s="520"/>
      <c r="K115" s="520"/>
      <c r="L115" s="520"/>
      <c r="M115" s="520"/>
      <c r="N115" s="520"/>
      <c r="O115" s="520"/>
      <c r="P115" s="520"/>
      <c r="Q115" s="520"/>
      <c r="R115" s="501"/>
      <c r="S115" s="501"/>
      <c r="T115" s="501"/>
      <c r="U115" s="501"/>
      <c r="V115" s="501"/>
    </row>
    <row r="116" spans="1:22">
      <c r="A116" s="519"/>
      <c r="B116" s="519"/>
      <c r="C116" s="520"/>
      <c r="D116" s="1261"/>
      <c r="E116" s="520"/>
      <c r="F116" s="520"/>
      <c r="G116" s="520"/>
      <c r="H116" s="520"/>
      <c r="I116" s="520"/>
      <c r="J116" s="520"/>
      <c r="K116" s="520"/>
      <c r="L116" s="520"/>
      <c r="M116" s="520"/>
      <c r="N116" s="520"/>
      <c r="O116" s="520"/>
      <c r="P116" s="520"/>
      <c r="Q116" s="520"/>
      <c r="R116" s="501"/>
      <c r="S116" s="501"/>
      <c r="T116" s="501"/>
      <c r="U116" s="501"/>
      <c r="V116" s="501"/>
    </row>
  </sheetData>
  <mergeCells count="30">
    <mergeCell ref="A5:R5"/>
    <mergeCell ref="A7:A8"/>
    <mergeCell ref="B7:B8"/>
    <mergeCell ref="C7:C8"/>
    <mergeCell ref="D7:D8"/>
    <mergeCell ref="E7:E8"/>
    <mergeCell ref="F7:F8"/>
    <mergeCell ref="G7:G8"/>
    <mergeCell ref="H7:H8"/>
    <mergeCell ref="I7:I8"/>
    <mergeCell ref="J7:L7"/>
    <mergeCell ref="M7:M8"/>
    <mergeCell ref="N7:N8"/>
    <mergeCell ref="O7:O8"/>
    <mergeCell ref="P7:P8"/>
    <mergeCell ref="Q7:Q8"/>
    <mergeCell ref="A4:R4"/>
    <mergeCell ref="A1:C1"/>
    <mergeCell ref="J1:O1"/>
    <mergeCell ref="A2:C2"/>
    <mergeCell ref="J2:O2"/>
    <mergeCell ref="A3:R3"/>
    <mergeCell ref="Q1:R1"/>
    <mergeCell ref="B87:L87"/>
    <mergeCell ref="R7:R8"/>
    <mergeCell ref="B85:L85"/>
    <mergeCell ref="B86:L86"/>
    <mergeCell ref="M83:R83"/>
    <mergeCell ref="M84:R84"/>
    <mergeCell ref="M87:R87"/>
  </mergeCells>
  <pageMargins left="0" right="0" top="0" bottom="0" header="0" footer="0"/>
  <pageSetup scale="8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37</vt:i4>
      </vt:variant>
    </vt:vector>
  </HeadingPairs>
  <TitlesOfParts>
    <vt:vector size="67" baseType="lpstr">
      <vt:lpstr>Danh muc bieu</vt:lpstr>
      <vt:lpstr>Bieu 1a DH Chinh quy</vt:lpstr>
      <vt:lpstr>Bieu 1b Sau dai hoc</vt:lpstr>
      <vt:lpstr>Bieu 1c VLVH - TX</vt:lpstr>
      <vt:lpstr>Bieu 1d THPT</vt:lpstr>
      <vt:lpstr>Bieu 1e THSP</vt:lpstr>
      <vt:lpstr>Bieu 2a DH va tren DH</vt:lpstr>
      <vt:lpstr>2aLH</vt:lpstr>
      <vt:lpstr>2aLKT</vt:lpstr>
      <vt:lpstr>2aCTXH</vt:lpstr>
      <vt:lpstr>2aCT</vt:lpstr>
      <vt:lpstr>Bieu 2b DT THPT THSP</vt:lpstr>
      <vt:lpstr>Bieu 3a-Tong gio chuan chi tiet</vt:lpstr>
      <vt:lpstr>Bieu 3b tong hop Truong</vt:lpstr>
      <vt:lpstr>Bieu 4-KP thuc hanh thi nghiem</vt:lpstr>
      <vt:lpstr>4.a LH</vt:lpstr>
      <vt:lpstr>4.b LKT</vt:lpstr>
      <vt:lpstr>4c CTXH</vt:lpstr>
      <vt:lpstr>4D CT</vt:lpstr>
      <vt:lpstr>Bieu5-Nhu cau mua sam sua chua</vt:lpstr>
      <vt:lpstr>Bieu 6 P.TCCB update new</vt:lpstr>
      <vt:lpstr>Bieu7-ke hoach NCKH</vt:lpstr>
      <vt:lpstr>Bieu 7.1Bien soan GT</vt:lpstr>
      <vt:lpstr>Bieu8-Dao tao ngan han</vt:lpstr>
      <vt:lpstr>9a Tong thu DH va SDH</vt:lpstr>
      <vt:lpstr>9b Tong thu THPT THSP LHS</vt:lpstr>
      <vt:lpstr>Bieu 9b Tong thu dvi hanh chinh</vt:lpstr>
      <vt:lpstr>Bieu 10-Tong chi</vt:lpstr>
      <vt:lpstr>Bieu 11 Chenh lech thu chi</vt:lpstr>
      <vt:lpstr>Bieu so 12 Chi phi con nguoi</vt:lpstr>
      <vt:lpstr>'2aCT'!Print_Area</vt:lpstr>
      <vt:lpstr>'2aCTXH'!Print_Area</vt:lpstr>
      <vt:lpstr>'2aLH'!Print_Area</vt:lpstr>
      <vt:lpstr>'2aLKT'!Print_Area</vt:lpstr>
      <vt:lpstr>'4.a LH'!Print_Area</vt:lpstr>
      <vt:lpstr>'4.b LKT'!Print_Area</vt:lpstr>
      <vt:lpstr>'4c CTXH'!Print_Area</vt:lpstr>
      <vt:lpstr>'4D CT'!Print_Area</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 9b Tong thu dvi hanh chinh'!Print_Area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pv</cp:lastModifiedBy>
  <cp:lastPrinted>2021-11-08T03:06:28Z</cp:lastPrinted>
  <dcterms:created xsi:type="dcterms:W3CDTF">2021-10-22T06:56:26Z</dcterms:created>
  <dcterms:modified xsi:type="dcterms:W3CDTF">2021-11-30T02:33:52Z</dcterms:modified>
</cp:coreProperties>
</file>